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activeX/activeX22.xml" ContentType="application/vnd.ms-office.activeX+xml"/>
  <Override PartName="/xl/activeX/activeX22.bin" ContentType="application/vnd.ms-office.activeX"/>
  <Override PartName="/xl/activeX/activeX23.xml" ContentType="application/vnd.ms-office.activeX+xml"/>
  <Override PartName="/xl/activeX/activeX23.bin" ContentType="application/vnd.ms-office.activeX"/>
  <Override PartName="/xl/activeX/activeX24.xml" ContentType="application/vnd.ms-office.activeX+xml"/>
  <Override PartName="/xl/activeX/activeX24.bin" ContentType="application/vnd.ms-office.activeX"/>
  <Override PartName="/xl/activeX/activeX25.xml" ContentType="application/vnd.ms-office.activeX+xml"/>
  <Override PartName="/xl/activeX/activeX25.bin" ContentType="application/vnd.ms-office.activeX"/>
  <Override PartName="/xl/activeX/activeX26.xml" ContentType="application/vnd.ms-office.activeX+xml"/>
  <Override PartName="/xl/activeX/activeX26.bin" ContentType="application/vnd.ms-office.activeX"/>
  <Override PartName="/xl/activeX/activeX27.xml" ContentType="application/vnd.ms-office.activeX+xml"/>
  <Override PartName="/xl/activeX/activeX27.bin" ContentType="application/vnd.ms-office.activeX"/>
  <Override PartName="/xl/activeX/activeX28.xml" ContentType="application/vnd.ms-office.activeX+xml"/>
  <Override PartName="/xl/activeX/activeX28.bin" ContentType="application/vnd.ms-office.activeX"/>
  <Override PartName="/xl/drawings/drawing2.xml" ContentType="application/vnd.openxmlformats-officedocument.drawing+xml"/>
  <Override PartName="/xl/activeX/activeX29.xml" ContentType="application/vnd.ms-office.activeX+xml"/>
  <Override PartName="/xl/activeX/activeX29.bin" ContentType="application/vnd.ms-office.activeX"/>
  <Override PartName="/xl/activeX/activeX30.xml" ContentType="application/vnd.ms-office.activeX+xml"/>
  <Override PartName="/xl/activeX/activeX30.bin" ContentType="application/vnd.ms-office.activeX"/>
  <Override PartName="/xl/activeX/activeX31.xml" ContentType="application/vnd.ms-office.activeX+xml"/>
  <Override PartName="/xl/activeX/activeX31.bin" ContentType="application/vnd.ms-office.activeX"/>
  <Override PartName="/xl/activeX/activeX32.xml" ContentType="application/vnd.ms-office.activeX+xml"/>
  <Override PartName="/xl/activeX/activeX32.bin" ContentType="application/vnd.ms-office.activeX"/>
  <Override PartName="/xl/activeX/activeX33.xml" ContentType="application/vnd.ms-office.activeX+xml"/>
  <Override PartName="/xl/activeX/activeX33.bin" ContentType="application/vnd.ms-office.activeX"/>
  <Override PartName="/xl/activeX/activeX34.xml" ContentType="application/vnd.ms-office.activeX+xml"/>
  <Override PartName="/xl/activeX/activeX34.bin" ContentType="application/vnd.ms-office.activeX"/>
  <Override PartName="/xl/activeX/activeX35.xml" ContentType="application/vnd.ms-office.activeX+xml"/>
  <Override PartName="/xl/activeX/activeX35.bin" ContentType="application/vnd.ms-office.activeX"/>
  <Override PartName="/xl/activeX/activeX36.xml" ContentType="application/vnd.ms-office.activeX+xml"/>
  <Override PartName="/xl/activeX/activeX36.bin" ContentType="application/vnd.ms-office.activeX"/>
  <Override PartName="/xl/activeX/activeX37.xml" ContentType="application/vnd.ms-office.activeX+xml"/>
  <Override PartName="/xl/activeX/activeX37.bin" ContentType="application/vnd.ms-office.activeX"/>
  <Override PartName="/xl/activeX/activeX38.xml" ContentType="application/vnd.ms-office.activeX+xml"/>
  <Override PartName="/xl/activeX/activeX38.bin" ContentType="application/vnd.ms-office.activeX"/>
  <Override PartName="/xl/activeX/activeX39.xml" ContentType="application/vnd.ms-office.activeX+xml"/>
  <Override PartName="/xl/activeX/activeX39.bin" ContentType="application/vnd.ms-office.activeX"/>
  <Override PartName="/xl/activeX/activeX40.xml" ContentType="application/vnd.ms-office.activeX+xml"/>
  <Override PartName="/xl/activeX/activeX40.bin" ContentType="application/vnd.ms-office.activeX"/>
  <Override PartName="/xl/activeX/activeX41.xml" ContentType="application/vnd.ms-office.activeX+xml"/>
  <Override PartName="/xl/activeX/activeX41.bin" ContentType="application/vnd.ms-office.activeX"/>
  <Override PartName="/xl/activeX/activeX42.xml" ContentType="application/vnd.ms-office.activeX+xml"/>
  <Override PartName="/xl/activeX/activeX42.bin" ContentType="application/vnd.ms-office.activeX"/>
  <Override PartName="/xl/activeX/activeX43.xml" ContentType="application/vnd.ms-office.activeX+xml"/>
  <Override PartName="/xl/activeX/activeX43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IMAV ADMINISTRACION\Desktop\Nominas\2021\"/>
    </mc:Choice>
  </mc:AlternateContent>
  <xr:revisionPtr revIDLastSave="0" documentId="8_{CFC11011-621F-4EDC-8722-1919B744972C}" xr6:coauthVersionLast="47" xr6:coauthVersionMax="47" xr10:uidLastSave="{00000000-0000-0000-0000-000000000000}"/>
  <bookViews>
    <workbookView xWindow="-108" yWindow="-108" windowWidth="23256" windowHeight="12576" activeTab="4" xr2:uid="{ADEC2CD8-CCFE-4B23-BFCB-2278A94D1CCE}"/>
  </bookViews>
  <sheets>
    <sheet name="2017" sheetId="5" r:id="rId1"/>
    <sheet name="2018" sheetId="1" r:id="rId2"/>
    <sheet name="2019" sheetId="2" r:id="rId3"/>
    <sheet name="2020" sheetId="3" r:id="rId4"/>
    <sheet name="2021" sheetId="4" r:id="rId5"/>
  </sheets>
  <definedNames>
    <definedName name="_xlnm._FilterDatabase" localSheetId="3" hidden="1">'2020'!$B$2:$D$9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3" i="4" l="1"/>
  <c r="E23" i="4"/>
  <c r="F23" i="4"/>
  <c r="G23" i="4"/>
  <c r="H21" i="4"/>
  <c r="I21" i="4" s="1"/>
  <c r="H22" i="4"/>
  <c r="I22" i="4" s="1"/>
  <c r="H20" i="4"/>
  <c r="I20" i="4" s="1"/>
  <c r="C23" i="4"/>
  <c r="C15" i="4"/>
  <c r="C7" i="4"/>
  <c r="I23" i="4" l="1"/>
  <c r="H23" i="4"/>
  <c r="W7" i="2"/>
  <c r="V7" i="2"/>
  <c r="U7" i="2"/>
  <c r="S7" i="2"/>
  <c r="V15" i="2"/>
  <c r="U15" i="2" l="1"/>
  <c r="S15" i="2"/>
  <c r="V23" i="2"/>
  <c r="U23" i="2"/>
  <c r="S23" i="2"/>
  <c r="W31" i="2" l="1"/>
  <c r="V31" i="2"/>
  <c r="U31" i="2"/>
  <c r="S31" i="2"/>
  <c r="S32" i="2" s="1"/>
  <c r="V39" i="2"/>
  <c r="V40" i="2" s="1"/>
  <c r="U39" i="2"/>
  <c r="U40" i="2" s="1"/>
  <c r="S39" i="2"/>
  <c r="V47" i="2"/>
  <c r="U47" i="2"/>
  <c r="U48" i="2" s="1"/>
  <c r="S47" i="2"/>
  <c r="W55" i="2"/>
  <c r="X55" i="2" s="1"/>
  <c r="V55" i="2"/>
  <c r="S55" i="2"/>
  <c r="S56" i="2" s="1"/>
  <c r="V62" i="2"/>
  <c r="V63" i="2" s="1"/>
  <c r="U62" i="2"/>
  <c r="U63" i="2" s="1"/>
  <c r="S62" i="2"/>
  <c r="T62" i="2" s="1"/>
  <c r="V70" i="2"/>
  <c r="X70" i="2" s="1"/>
  <c r="U70" i="2"/>
  <c r="S70" i="2"/>
  <c r="T70" i="2" s="1"/>
  <c r="S78" i="2"/>
  <c r="U78" i="2"/>
  <c r="X78" i="2"/>
  <c r="U79" i="2"/>
  <c r="V78" i="2"/>
  <c r="W86" i="2"/>
  <c r="V86" i="2"/>
  <c r="U86" i="2"/>
  <c r="S86" i="2"/>
  <c r="Z86" i="2"/>
  <c r="U94" i="2"/>
  <c r="X94" i="2" s="1"/>
  <c r="S94" i="2"/>
  <c r="T94" i="2" s="1"/>
  <c r="Z94" i="2"/>
  <c r="P7" i="3"/>
  <c r="O7" i="3"/>
  <c r="Q16" i="3"/>
  <c r="P16" i="3"/>
  <c r="P17" i="3" s="1"/>
  <c r="O16" i="3"/>
  <c r="P24" i="3"/>
  <c r="O24" i="3"/>
  <c r="O25" i="3" s="1"/>
  <c r="P33" i="3"/>
  <c r="P34" i="3" s="1"/>
  <c r="Q33" i="3"/>
  <c r="O33" i="3"/>
  <c r="P42" i="3"/>
  <c r="P43" i="3" s="1"/>
  <c r="O42" i="3"/>
  <c r="O43" i="3" s="1"/>
  <c r="Q51" i="3"/>
  <c r="P51" i="3"/>
  <c r="O51" i="3"/>
  <c r="P59" i="3"/>
  <c r="P60" i="3" s="1"/>
  <c r="O59" i="3"/>
  <c r="Q67" i="3"/>
  <c r="Q68" i="3" s="1"/>
  <c r="P67" i="3"/>
  <c r="P68" i="3" s="1"/>
  <c r="O67" i="3"/>
  <c r="O68" i="3" s="1"/>
  <c r="Q75" i="3"/>
  <c r="P75" i="3"/>
  <c r="O75" i="3"/>
  <c r="P83" i="3"/>
  <c r="O83" i="3"/>
  <c r="P91" i="3"/>
  <c r="P92" i="3" s="1"/>
  <c r="Q91" i="3"/>
  <c r="Q92" i="3" s="1"/>
  <c r="O91" i="3"/>
  <c r="O99" i="3"/>
  <c r="O100" i="3"/>
  <c r="M99" i="3"/>
  <c r="N99" i="3" s="1"/>
  <c r="Q100" i="3"/>
  <c r="P100" i="3"/>
  <c r="R98" i="3"/>
  <c r="R97" i="3"/>
  <c r="R96" i="3"/>
  <c r="O92" i="3"/>
  <c r="R90" i="3"/>
  <c r="R89" i="3"/>
  <c r="R88" i="3"/>
  <c r="Q84" i="3"/>
  <c r="P84" i="3"/>
  <c r="R82" i="3"/>
  <c r="R81" i="3"/>
  <c r="R80" i="3"/>
  <c r="Q76" i="3"/>
  <c r="P76" i="3"/>
  <c r="O76" i="3"/>
  <c r="R74" i="3"/>
  <c r="R73" i="3"/>
  <c r="R72" i="3"/>
  <c r="R66" i="3"/>
  <c r="R65" i="3"/>
  <c r="R64" i="3"/>
  <c r="Q60" i="3"/>
  <c r="O60" i="3"/>
  <c r="R58" i="3"/>
  <c r="R57" i="3"/>
  <c r="R56" i="3"/>
  <c r="Q52" i="3"/>
  <c r="P52" i="3"/>
  <c r="O52" i="3"/>
  <c r="R50" i="3"/>
  <c r="R49" i="3"/>
  <c r="R48" i="3"/>
  <c r="Q43" i="3"/>
  <c r="R42" i="3"/>
  <c r="R41" i="3"/>
  <c r="R40" i="3"/>
  <c r="R39" i="3"/>
  <c r="Q34" i="3"/>
  <c r="O34" i="3"/>
  <c r="R32" i="3"/>
  <c r="R31" i="3"/>
  <c r="R30" i="3"/>
  <c r="Q25" i="3"/>
  <c r="P25" i="3"/>
  <c r="R23" i="3"/>
  <c r="R22" i="3"/>
  <c r="R21" i="3"/>
  <c r="Q17" i="3"/>
  <c r="O17" i="3"/>
  <c r="R16" i="3"/>
  <c r="R15" i="3"/>
  <c r="R14" i="3"/>
  <c r="R13" i="3"/>
  <c r="Q8" i="3"/>
  <c r="P8" i="3"/>
  <c r="O8" i="3"/>
  <c r="R7" i="3"/>
  <c r="R6" i="3"/>
  <c r="R5" i="3"/>
  <c r="R4" i="3"/>
  <c r="W95" i="2"/>
  <c r="V95" i="2"/>
  <c r="U95" i="2"/>
  <c r="S95" i="2"/>
  <c r="X93" i="2"/>
  <c r="T93" i="2"/>
  <c r="Y93" i="2" s="1"/>
  <c r="X92" i="2"/>
  <c r="T92" i="2"/>
  <c r="Y92" i="2" s="1"/>
  <c r="Y91" i="2"/>
  <c r="X91" i="2"/>
  <c r="T91" i="2"/>
  <c r="W87" i="2"/>
  <c r="V87" i="2"/>
  <c r="U87" i="2"/>
  <c r="S87" i="2"/>
  <c r="T86" i="2"/>
  <c r="X85" i="2"/>
  <c r="T85" i="2"/>
  <c r="T87" i="2" s="1"/>
  <c r="Y84" i="2"/>
  <c r="X84" i="2"/>
  <c r="T84" i="2"/>
  <c r="Y83" i="2"/>
  <c r="X83" i="2"/>
  <c r="T83" i="2"/>
  <c r="W79" i="2"/>
  <c r="V79" i="2"/>
  <c r="S79" i="2"/>
  <c r="T78" i="2"/>
  <c r="T79" i="2" s="1"/>
  <c r="Y77" i="2"/>
  <c r="X77" i="2"/>
  <c r="T77" i="2"/>
  <c r="Y76" i="2"/>
  <c r="X76" i="2"/>
  <c r="T76" i="2"/>
  <c r="X75" i="2"/>
  <c r="T75" i="2"/>
  <c r="Y75" i="2" s="1"/>
  <c r="W71" i="2"/>
  <c r="V71" i="2"/>
  <c r="U71" i="2"/>
  <c r="S71" i="2"/>
  <c r="Y69" i="2"/>
  <c r="X69" i="2"/>
  <c r="T69" i="2"/>
  <c r="X68" i="2"/>
  <c r="T68" i="2"/>
  <c r="Y68" i="2" s="1"/>
  <c r="X67" i="2"/>
  <c r="T67" i="2"/>
  <c r="Y67" i="2" s="1"/>
  <c r="W63" i="2"/>
  <c r="X62" i="2"/>
  <c r="X61" i="2"/>
  <c r="T61" i="2"/>
  <c r="Y61" i="2" s="1"/>
  <c r="X60" i="2"/>
  <c r="T60" i="2"/>
  <c r="Y60" i="2" s="1"/>
  <c r="Y59" i="2"/>
  <c r="X59" i="2"/>
  <c r="T59" i="2"/>
  <c r="W56" i="2"/>
  <c r="V56" i="2"/>
  <c r="U56" i="2"/>
  <c r="T55" i="2"/>
  <c r="X54" i="2"/>
  <c r="T54" i="2"/>
  <c r="Y54" i="2" s="1"/>
  <c r="Y53" i="2"/>
  <c r="X53" i="2"/>
  <c r="T53" i="2"/>
  <c r="Y52" i="2"/>
  <c r="X52" i="2"/>
  <c r="T52" i="2"/>
  <c r="T56" i="2" s="1"/>
  <c r="W48" i="2"/>
  <c r="V48" i="2"/>
  <c r="S48" i="2"/>
  <c r="X47" i="2"/>
  <c r="T47" i="2"/>
  <c r="X46" i="2"/>
  <c r="T46" i="2"/>
  <c r="Y46" i="2" s="1"/>
  <c r="Y45" i="2"/>
  <c r="X45" i="2"/>
  <c r="T45" i="2"/>
  <c r="X44" i="2"/>
  <c r="T44" i="2"/>
  <c r="W40" i="2"/>
  <c r="S40" i="2"/>
  <c r="T39" i="2"/>
  <c r="Y38" i="2"/>
  <c r="X38" i="2"/>
  <c r="T38" i="2"/>
  <c r="X37" i="2"/>
  <c r="T37" i="2"/>
  <c r="Y37" i="2" s="1"/>
  <c r="X36" i="2"/>
  <c r="T36" i="2"/>
  <c r="Y36" i="2" s="1"/>
  <c r="W32" i="2"/>
  <c r="V32" i="2"/>
  <c r="U32" i="2"/>
  <c r="T31" i="2"/>
  <c r="X30" i="2"/>
  <c r="T30" i="2"/>
  <c r="Y30" i="2" s="1"/>
  <c r="X29" i="2"/>
  <c r="T29" i="2"/>
  <c r="Y29" i="2" s="1"/>
  <c r="Y28" i="2"/>
  <c r="X28" i="2"/>
  <c r="T28" i="2"/>
  <c r="W24" i="2"/>
  <c r="V24" i="2"/>
  <c r="U24" i="2"/>
  <c r="S24" i="2"/>
  <c r="X23" i="2"/>
  <c r="T23" i="2"/>
  <c r="X22" i="2"/>
  <c r="T22" i="2"/>
  <c r="Y22" i="2" s="1"/>
  <c r="X21" i="2"/>
  <c r="Y21" i="2" s="1"/>
  <c r="T21" i="2"/>
  <c r="Y20" i="2"/>
  <c r="X20" i="2"/>
  <c r="T20" i="2"/>
  <c r="T24" i="2" s="1"/>
  <c r="W16" i="2"/>
  <c r="V16" i="2"/>
  <c r="U16" i="2"/>
  <c r="S16" i="2"/>
  <c r="X15" i="2"/>
  <c r="T15" i="2"/>
  <c r="Y15" i="2" s="1"/>
  <c r="X14" i="2"/>
  <c r="Y14" i="2" s="1"/>
  <c r="T14" i="2"/>
  <c r="Y13" i="2"/>
  <c r="X13" i="2"/>
  <c r="T13" i="2"/>
  <c r="X12" i="2"/>
  <c r="T12" i="2"/>
  <c r="Y12" i="2" s="1"/>
  <c r="W8" i="2"/>
  <c r="V8" i="2"/>
  <c r="U8" i="2"/>
  <c r="S8" i="2"/>
  <c r="X7" i="2"/>
  <c r="Y7" i="2" s="1"/>
  <c r="T7" i="2"/>
  <c r="Y6" i="2"/>
  <c r="X6" i="2"/>
  <c r="T6" i="2"/>
  <c r="X5" i="2"/>
  <c r="T5" i="2"/>
  <c r="Y5" i="2" s="1"/>
  <c r="X4" i="2"/>
  <c r="T4" i="2"/>
  <c r="Y4" i="2" s="1"/>
  <c r="P95" i="1"/>
  <c r="O95" i="1"/>
  <c r="N95" i="1"/>
  <c r="L95" i="1"/>
  <c r="R94" i="1"/>
  <c r="Q94" i="1"/>
  <c r="M94" i="1"/>
  <c r="Q93" i="1"/>
  <c r="M93" i="1"/>
  <c r="R93" i="1" s="1"/>
  <c r="Q92" i="1"/>
  <c r="M92" i="1"/>
  <c r="R92" i="1" s="1"/>
  <c r="R91" i="1"/>
  <c r="R95" i="1" s="1"/>
  <c r="Q91" i="1"/>
  <c r="Q95" i="1" s="1"/>
  <c r="M91" i="1"/>
  <c r="M95" i="1" s="1"/>
  <c r="P87" i="1"/>
  <c r="O87" i="1"/>
  <c r="N87" i="1"/>
  <c r="L87" i="1"/>
  <c r="R86" i="1"/>
  <c r="Q86" i="1"/>
  <c r="M86" i="1"/>
  <c r="Q85" i="1"/>
  <c r="M85" i="1"/>
  <c r="R85" i="1" s="1"/>
  <c r="Q84" i="1"/>
  <c r="M84" i="1"/>
  <c r="R84" i="1" s="1"/>
  <c r="Q83" i="1"/>
  <c r="R83" i="1" s="1"/>
  <c r="R87" i="1" s="1"/>
  <c r="M83" i="1"/>
  <c r="M87" i="1" s="1"/>
  <c r="P79" i="1"/>
  <c r="O79" i="1"/>
  <c r="N79" i="1"/>
  <c r="L79" i="1"/>
  <c r="R78" i="1"/>
  <c r="Q78" i="1"/>
  <c r="M78" i="1"/>
  <c r="Q77" i="1"/>
  <c r="R77" i="1" s="1"/>
  <c r="M77" i="1"/>
  <c r="Q76" i="1"/>
  <c r="M76" i="1"/>
  <c r="R76" i="1" s="1"/>
  <c r="Q75" i="1"/>
  <c r="Q79" i="1" s="1"/>
  <c r="M75" i="1"/>
  <c r="R75" i="1" s="1"/>
  <c r="P71" i="1"/>
  <c r="O71" i="1"/>
  <c r="N71" i="1"/>
  <c r="L71" i="1"/>
  <c r="R70" i="1"/>
  <c r="Q70" i="1"/>
  <c r="M70" i="1"/>
  <c r="Q69" i="1"/>
  <c r="R69" i="1" s="1"/>
  <c r="M69" i="1"/>
  <c r="Q68" i="1"/>
  <c r="M68" i="1"/>
  <c r="R68" i="1" s="1"/>
  <c r="Q67" i="1"/>
  <c r="Q71" i="1" s="1"/>
  <c r="M67" i="1"/>
  <c r="R67" i="1" s="1"/>
  <c r="P63" i="1"/>
  <c r="O63" i="1"/>
  <c r="N63" i="1"/>
  <c r="L63" i="1"/>
  <c r="R62" i="1"/>
  <c r="Q62" i="1"/>
  <c r="M62" i="1"/>
  <c r="Q61" i="1"/>
  <c r="M61" i="1"/>
  <c r="R61" i="1" s="1"/>
  <c r="Q60" i="1"/>
  <c r="M60" i="1"/>
  <c r="R60" i="1" s="1"/>
  <c r="R59" i="1"/>
  <c r="R63" i="1" s="1"/>
  <c r="Q59" i="1"/>
  <c r="Q63" i="1" s="1"/>
  <c r="M59" i="1"/>
  <c r="M63" i="1" s="1"/>
  <c r="P56" i="1"/>
  <c r="O56" i="1"/>
  <c r="N56" i="1"/>
  <c r="L56" i="1"/>
  <c r="Q55" i="1"/>
  <c r="M55" i="1"/>
  <c r="R55" i="1" s="1"/>
  <c r="Q54" i="1"/>
  <c r="M54" i="1"/>
  <c r="R54" i="1" s="1"/>
  <c r="R53" i="1"/>
  <c r="Q53" i="1"/>
  <c r="M53" i="1"/>
  <c r="Q52" i="1"/>
  <c r="R52" i="1" s="1"/>
  <c r="R56" i="1" s="1"/>
  <c r="M52" i="1"/>
  <c r="P48" i="1"/>
  <c r="O48" i="1"/>
  <c r="N48" i="1"/>
  <c r="L48" i="1"/>
  <c r="R47" i="1"/>
  <c r="Q47" i="1"/>
  <c r="M47" i="1"/>
  <c r="Q46" i="1"/>
  <c r="M46" i="1"/>
  <c r="R46" i="1" s="1"/>
  <c r="Q45" i="1"/>
  <c r="M45" i="1"/>
  <c r="R45" i="1" s="1"/>
  <c r="Q44" i="1"/>
  <c r="R44" i="1" s="1"/>
  <c r="R48" i="1" s="1"/>
  <c r="M44" i="1"/>
  <c r="M48" i="1" s="1"/>
  <c r="P40" i="1"/>
  <c r="O40" i="1"/>
  <c r="N40" i="1"/>
  <c r="L40" i="1"/>
  <c r="R39" i="1"/>
  <c r="Q39" i="1"/>
  <c r="M39" i="1"/>
  <c r="Q38" i="1"/>
  <c r="M38" i="1"/>
  <c r="R38" i="1" s="1"/>
  <c r="Q37" i="1"/>
  <c r="M37" i="1"/>
  <c r="R37" i="1" s="1"/>
  <c r="Q36" i="1"/>
  <c r="R36" i="1" s="1"/>
  <c r="R40" i="1" s="1"/>
  <c r="M36" i="1"/>
  <c r="M40" i="1" s="1"/>
  <c r="P32" i="1"/>
  <c r="O32" i="1"/>
  <c r="N32" i="1"/>
  <c r="L32" i="1"/>
  <c r="R31" i="1"/>
  <c r="Q31" i="1"/>
  <c r="M31" i="1"/>
  <c r="Q30" i="1"/>
  <c r="M30" i="1"/>
  <c r="R30" i="1" s="1"/>
  <c r="Q29" i="1"/>
  <c r="M29" i="1"/>
  <c r="R29" i="1" s="1"/>
  <c r="Q28" i="1"/>
  <c r="Q32" i="1" s="1"/>
  <c r="M28" i="1"/>
  <c r="R28" i="1" s="1"/>
  <c r="P8" i="1"/>
  <c r="O8" i="1"/>
  <c r="N8" i="1"/>
  <c r="M8" i="1"/>
  <c r="L8" i="1"/>
  <c r="Q7" i="1"/>
  <c r="M7" i="1"/>
  <c r="R7" i="1" s="1"/>
  <c r="Q6" i="1"/>
  <c r="M6" i="1"/>
  <c r="R6" i="1" s="1"/>
  <c r="R5" i="1"/>
  <c r="Q5" i="1"/>
  <c r="M5" i="1"/>
  <c r="Q4" i="1"/>
  <c r="R4" i="1" s="1"/>
  <c r="M4" i="1"/>
  <c r="P16" i="1"/>
  <c r="O16" i="1"/>
  <c r="N16" i="1"/>
  <c r="L16" i="1"/>
  <c r="R15" i="1"/>
  <c r="Q15" i="1"/>
  <c r="M15" i="1"/>
  <c r="Q14" i="1"/>
  <c r="M14" i="1"/>
  <c r="R14" i="1" s="1"/>
  <c r="Q13" i="1"/>
  <c r="M13" i="1"/>
  <c r="R13" i="1" s="1"/>
  <c r="R12" i="1"/>
  <c r="R16" i="1" s="1"/>
  <c r="Q12" i="1"/>
  <c r="Q16" i="1" s="1"/>
  <c r="M12" i="1"/>
  <c r="M16" i="1" s="1"/>
  <c r="Q23" i="1"/>
  <c r="M23" i="1"/>
  <c r="R23" i="1" s="1"/>
  <c r="Q22" i="1"/>
  <c r="M22" i="1"/>
  <c r="R22" i="1" s="1"/>
  <c r="P24" i="1"/>
  <c r="O24" i="1"/>
  <c r="Q21" i="1"/>
  <c r="M21" i="1"/>
  <c r="Q20" i="1"/>
  <c r="M20" i="1"/>
  <c r="Q28" i="5"/>
  <c r="Q29" i="5" s="1"/>
  <c r="P28" i="5"/>
  <c r="O28" i="5"/>
  <c r="M28" i="5"/>
  <c r="N28" i="5" s="1"/>
  <c r="P36" i="5"/>
  <c r="O36" i="5"/>
  <c r="R36" i="5" s="1"/>
  <c r="M36" i="5"/>
  <c r="N36" i="5" s="1"/>
  <c r="N37" i="5" s="1"/>
  <c r="O44" i="5"/>
  <c r="P44" i="5"/>
  <c r="M44" i="5"/>
  <c r="N44" i="5" s="1"/>
  <c r="P35" i="5"/>
  <c r="O35" i="5"/>
  <c r="N35" i="5"/>
  <c r="M35" i="5"/>
  <c r="M37" i="5" s="1"/>
  <c r="Q43" i="5"/>
  <c r="Q45" i="5" s="1"/>
  <c r="P43" i="5"/>
  <c r="O43" i="5"/>
  <c r="M43" i="5"/>
  <c r="P27" i="5"/>
  <c r="R27" i="5" s="1"/>
  <c r="O27" i="5"/>
  <c r="M27" i="5"/>
  <c r="M29" i="5" s="1"/>
  <c r="Q37" i="5"/>
  <c r="P45" i="5"/>
  <c r="Q42" i="5"/>
  <c r="P42" i="5"/>
  <c r="O42" i="5"/>
  <c r="M42" i="5"/>
  <c r="P34" i="5"/>
  <c r="R34" i="5" s="1"/>
  <c r="O34" i="5"/>
  <c r="M34" i="5"/>
  <c r="N34" i="5" s="1"/>
  <c r="P26" i="5"/>
  <c r="O26" i="5"/>
  <c r="O29" i="5" s="1"/>
  <c r="M26" i="5"/>
  <c r="N26" i="5" s="1"/>
  <c r="O41" i="5"/>
  <c r="P41" i="5"/>
  <c r="M41" i="5"/>
  <c r="N41" i="5" s="1"/>
  <c r="O33" i="5"/>
  <c r="P33" i="5"/>
  <c r="N43" i="5"/>
  <c r="N42" i="5"/>
  <c r="M33" i="5"/>
  <c r="P25" i="5"/>
  <c r="O25" i="5"/>
  <c r="M25" i="5"/>
  <c r="N25" i="5" s="1"/>
  <c r="S21" i="5"/>
  <c r="R21" i="5"/>
  <c r="Q21" i="5"/>
  <c r="P21" i="5"/>
  <c r="O21" i="5"/>
  <c r="N21" i="5"/>
  <c r="M21" i="5"/>
  <c r="S14" i="5"/>
  <c r="R14" i="5"/>
  <c r="Q14" i="5"/>
  <c r="P14" i="5"/>
  <c r="O14" i="5"/>
  <c r="N14" i="5"/>
  <c r="M14" i="5"/>
  <c r="S7" i="5"/>
  <c r="N7" i="5"/>
  <c r="O7" i="5"/>
  <c r="P7" i="5"/>
  <c r="Q7" i="5"/>
  <c r="R7" i="5"/>
  <c r="M7" i="5"/>
  <c r="C30" i="3"/>
  <c r="M31" i="3" s="1"/>
  <c r="N31" i="3" s="1"/>
  <c r="C38" i="3"/>
  <c r="M40" i="3" s="1"/>
  <c r="N40" i="3" s="1"/>
  <c r="C46" i="3"/>
  <c r="M49" i="3" s="1"/>
  <c r="N49" i="3" s="1"/>
  <c r="S49" i="3" s="1"/>
  <c r="C54" i="3"/>
  <c r="M57" i="3" s="1"/>
  <c r="N57" i="3" s="1"/>
  <c r="C62" i="3"/>
  <c r="M65" i="3" s="1"/>
  <c r="N65" i="3" s="1"/>
  <c r="S65" i="3" s="1"/>
  <c r="C71" i="3"/>
  <c r="M73" i="3" s="1"/>
  <c r="N73" i="3" s="1"/>
  <c r="S73" i="3" s="1"/>
  <c r="C80" i="3"/>
  <c r="M81" i="3" s="1"/>
  <c r="N81" i="3" s="1"/>
  <c r="S81" i="3" s="1"/>
  <c r="C88" i="3"/>
  <c r="M89" i="3" s="1"/>
  <c r="C96" i="3"/>
  <c r="I96" i="3"/>
  <c r="I97" i="3"/>
  <c r="C97" i="3"/>
  <c r="C89" i="3"/>
  <c r="M90" i="3" s="1"/>
  <c r="N90" i="3" s="1"/>
  <c r="C81" i="3"/>
  <c r="M82" i="3" s="1"/>
  <c r="N82" i="3" s="1"/>
  <c r="S82" i="3" s="1"/>
  <c r="C72" i="3"/>
  <c r="M74" i="3" s="1"/>
  <c r="N74" i="3" s="1"/>
  <c r="C63" i="3"/>
  <c r="M66" i="3" s="1"/>
  <c r="N66" i="3" s="1"/>
  <c r="C55" i="3"/>
  <c r="M58" i="3" s="1"/>
  <c r="N58" i="3" s="1"/>
  <c r="C47" i="3"/>
  <c r="M50" i="3" s="1"/>
  <c r="N50" i="3" s="1"/>
  <c r="C39" i="3"/>
  <c r="M41" i="3" s="1"/>
  <c r="N41" i="3" s="1"/>
  <c r="C31" i="3"/>
  <c r="M32" i="3" s="1"/>
  <c r="N32" i="3" s="1"/>
  <c r="C23" i="3"/>
  <c r="M23" i="3" s="1"/>
  <c r="N23" i="3" s="1"/>
  <c r="C15" i="3"/>
  <c r="M15" i="3" s="1"/>
  <c r="N15" i="3" s="1"/>
  <c r="C6" i="3"/>
  <c r="M6" i="3" s="1"/>
  <c r="N6" i="3" s="1"/>
  <c r="C106" i="2"/>
  <c r="C88" i="2"/>
  <c r="C79" i="2"/>
  <c r="C70" i="2"/>
  <c r="C61" i="2"/>
  <c r="C52" i="2"/>
  <c r="C43" i="2"/>
  <c r="K25" i="2"/>
  <c r="K16" i="2"/>
  <c r="K7" i="2"/>
  <c r="C106" i="1"/>
  <c r="C88" i="1"/>
  <c r="C61" i="1"/>
  <c r="C7" i="3"/>
  <c r="M7" i="3" s="1"/>
  <c r="N7" i="3" s="1"/>
  <c r="C24" i="3"/>
  <c r="M24" i="3" s="1"/>
  <c r="N24" i="3" s="1"/>
  <c r="C32" i="3"/>
  <c r="M33" i="3" s="1"/>
  <c r="N33" i="3" s="1"/>
  <c r="C40" i="3"/>
  <c r="M42" i="3" s="1"/>
  <c r="N42" i="3" s="1"/>
  <c r="C48" i="3"/>
  <c r="M51" i="3" s="1"/>
  <c r="N51" i="3" s="1"/>
  <c r="C56" i="3"/>
  <c r="M59" i="3" s="1"/>
  <c r="N59" i="3" s="1"/>
  <c r="C82" i="3"/>
  <c r="M83" i="3" s="1"/>
  <c r="N83" i="3" s="1"/>
  <c r="C98" i="3"/>
  <c r="C22" i="3"/>
  <c r="M22" i="3" s="1"/>
  <c r="N22" i="3" s="1"/>
  <c r="C14" i="3"/>
  <c r="M14" i="3" s="1"/>
  <c r="N14" i="3" s="1"/>
  <c r="C5" i="3"/>
  <c r="M5" i="3" s="1"/>
  <c r="N5" i="3" s="1"/>
  <c r="C104" i="2"/>
  <c r="G104" i="2"/>
  <c r="C95" i="2"/>
  <c r="C86" i="2"/>
  <c r="C77" i="2"/>
  <c r="C68" i="2"/>
  <c r="C59" i="2"/>
  <c r="C50" i="2"/>
  <c r="C41" i="2"/>
  <c r="K32" i="2"/>
  <c r="K23" i="2"/>
  <c r="K14" i="2"/>
  <c r="K5" i="2"/>
  <c r="G104" i="1"/>
  <c r="C104" i="1"/>
  <c r="C95" i="1"/>
  <c r="C86" i="1"/>
  <c r="C77" i="1"/>
  <c r="C68" i="1"/>
  <c r="C59" i="1"/>
  <c r="C50" i="1"/>
  <c r="C43" i="1"/>
  <c r="C34" i="1"/>
  <c r="C25" i="1"/>
  <c r="C16" i="1"/>
  <c r="C7" i="1"/>
  <c r="C5" i="1"/>
  <c r="C14" i="1"/>
  <c r="G105" i="2"/>
  <c r="C105" i="2"/>
  <c r="C96" i="2"/>
  <c r="C87" i="2"/>
  <c r="C69" i="2"/>
  <c r="C60" i="2"/>
  <c r="C51" i="2"/>
  <c r="C42" i="2"/>
  <c r="K33" i="2"/>
  <c r="K24" i="2"/>
  <c r="K15" i="2"/>
  <c r="K6" i="2"/>
  <c r="G105" i="1"/>
  <c r="C105" i="1"/>
  <c r="C96" i="1"/>
  <c r="C87" i="1"/>
  <c r="C78" i="1"/>
  <c r="C69" i="1"/>
  <c r="C60" i="1"/>
  <c r="C51" i="1"/>
  <c r="C42" i="1"/>
  <c r="C24" i="1"/>
  <c r="C15" i="1"/>
  <c r="C23" i="1"/>
  <c r="C95" i="3"/>
  <c r="M96" i="3" s="1"/>
  <c r="C87" i="3"/>
  <c r="M88" i="3" s="1"/>
  <c r="N88" i="3" s="1"/>
  <c r="C70" i="3"/>
  <c r="M72" i="3" s="1"/>
  <c r="N72" i="3" s="1"/>
  <c r="C61" i="3"/>
  <c r="M64" i="3" s="1"/>
  <c r="C45" i="3"/>
  <c r="M48" i="3" s="1"/>
  <c r="C29" i="3"/>
  <c r="M30" i="3" s="1"/>
  <c r="C13" i="3"/>
  <c r="M13" i="3" s="1"/>
  <c r="G103" i="2"/>
  <c r="C103" i="2"/>
  <c r="C94" i="2"/>
  <c r="C85" i="2"/>
  <c r="C76" i="2"/>
  <c r="C67" i="2"/>
  <c r="C58" i="2"/>
  <c r="C49" i="2"/>
  <c r="C40" i="2"/>
  <c r="K31" i="2"/>
  <c r="K22" i="2"/>
  <c r="K13" i="2"/>
  <c r="K4" i="2"/>
  <c r="C21" i="3"/>
  <c r="M21" i="3" s="1"/>
  <c r="C4" i="3"/>
  <c r="M4" i="3" s="1"/>
  <c r="C103" i="1"/>
  <c r="C94" i="1"/>
  <c r="C85" i="1"/>
  <c r="C76" i="1"/>
  <c r="C67" i="1"/>
  <c r="C58" i="1"/>
  <c r="C49" i="1"/>
  <c r="C40" i="1"/>
  <c r="C31" i="1"/>
  <c r="C22" i="1"/>
  <c r="C13" i="1"/>
  <c r="C4" i="1"/>
  <c r="C14" i="5"/>
  <c r="C17" i="5" s="1"/>
  <c r="C13" i="5"/>
  <c r="C4" i="5"/>
  <c r="C8" i="5" s="1"/>
  <c r="D8" i="5"/>
  <c r="E8" i="5"/>
  <c r="F8" i="5"/>
  <c r="G8" i="5"/>
  <c r="H8" i="5"/>
  <c r="I8" i="5"/>
  <c r="D99" i="3"/>
  <c r="F99" i="3"/>
  <c r="C90" i="3"/>
  <c r="M91" i="3" s="1"/>
  <c r="N91" i="3" s="1"/>
  <c r="C73" i="3"/>
  <c r="M75" i="3" s="1"/>
  <c r="C64" i="3"/>
  <c r="M67" i="3" s="1"/>
  <c r="N67" i="3" s="1"/>
  <c r="C16" i="3"/>
  <c r="M16" i="3" s="1"/>
  <c r="N16" i="3" s="1"/>
  <c r="C79" i="3"/>
  <c r="M80" i="3" s="1"/>
  <c r="C53" i="3"/>
  <c r="M56" i="3" s="1"/>
  <c r="C37" i="3"/>
  <c r="M39" i="3" s="1"/>
  <c r="X8" i="2" l="1"/>
  <c r="Y8" i="2"/>
  <c r="X16" i="2"/>
  <c r="Y23" i="2"/>
  <c r="X24" i="2"/>
  <c r="X31" i="2"/>
  <c r="Y31" i="2" s="1"/>
  <c r="Y32" i="2" s="1"/>
  <c r="X32" i="2"/>
  <c r="T32" i="2"/>
  <c r="X39" i="2"/>
  <c r="X40" i="2" s="1"/>
  <c r="Y39" i="2"/>
  <c r="X48" i="2"/>
  <c r="Y47" i="2"/>
  <c r="X56" i="2"/>
  <c r="Y55" i="2"/>
  <c r="X63" i="2"/>
  <c r="Y62" i="2"/>
  <c r="Y63" i="2" s="1"/>
  <c r="S63" i="2"/>
  <c r="T63" i="2"/>
  <c r="X71" i="2"/>
  <c r="Y70" i="2"/>
  <c r="Y71" i="2" s="1"/>
  <c r="X79" i="2"/>
  <c r="X86" i="2"/>
  <c r="X87" i="2" s="1"/>
  <c r="Y86" i="2"/>
  <c r="Y94" i="2"/>
  <c r="X95" i="2"/>
  <c r="T95" i="2"/>
  <c r="Y95" i="2"/>
  <c r="R24" i="3"/>
  <c r="S24" i="3" s="1"/>
  <c r="R33" i="3"/>
  <c r="R51" i="3"/>
  <c r="R59" i="3"/>
  <c r="S59" i="3" s="1"/>
  <c r="R67" i="3"/>
  <c r="S67" i="3" s="1"/>
  <c r="R75" i="3"/>
  <c r="R83" i="3"/>
  <c r="O84" i="3"/>
  <c r="R91" i="3"/>
  <c r="R92" i="3" s="1"/>
  <c r="R99" i="3"/>
  <c r="M17" i="3"/>
  <c r="N13" i="3"/>
  <c r="M8" i="3"/>
  <c r="N4" i="3"/>
  <c r="N8" i="3" s="1"/>
  <c r="M25" i="3"/>
  <c r="N21" i="3"/>
  <c r="M34" i="3"/>
  <c r="M98" i="3"/>
  <c r="N98" i="3" s="1"/>
  <c r="S98" i="3" s="1"/>
  <c r="N30" i="3"/>
  <c r="N34" i="3" s="1"/>
  <c r="M43" i="3"/>
  <c r="N39" i="3"/>
  <c r="S72" i="3"/>
  <c r="S58" i="3"/>
  <c r="S90" i="3"/>
  <c r="S33" i="3"/>
  <c r="M52" i="3"/>
  <c r="S42" i="3"/>
  <c r="S66" i="3"/>
  <c r="S57" i="3"/>
  <c r="S4" i="3"/>
  <c r="S23" i="3"/>
  <c r="N48" i="3"/>
  <c r="N52" i="3" s="1"/>
  <c r="S88" i="3"/>
  <c r="S83" i="3"/>
  <c r="S74" i="3"/>
  <c r="S6" i="3"/>
  <c r="S13" i="3"/>
  <c r="S32" i="3"/>
  <c r="M68" i="3"/>
  <c r="M97" i="3"/>
  <c r="N97" i="3" s="1"/>
  <c r="S97" i="3" s="1"/>
  <c r="S39" i="3"/>
  <c r="S41" i="3"/>
  <c r="R76" i="3"/>
  <c r="S7" i="3"/>
  <c r="S14" i="3"/>
  <c r="S22" i="3"/>
  <c r="S99" i="3"/>
  <c r="M60" i="3"/>
  <c r="N56" i="3"/>
  <c r="N60" i="3" s="1"/>
  <c r="M76" i="3"/>
  <c r="N75" i="3"/>
  <c r="S75" i="3" s="1"/>
  <c r="N96" i="3"/>
  <c r="N89" i="3"/>
  <c r="S89" i="3" s="1"/>
  <c r="M92" i="3"/>
  <c r="M84" i="3"/>
  <c r="N17" i="3"/>
  <c r="S21" i="3"/>
  <c r="R8" i="3"/>
  <c r="R43" i="3"/>
  <c r="N80" i="3"/>
  <c r="S80" i="3" s="1"/>
  <c r="S5" i="3"/>
  <c r="R17" i="3"/>
  <c r="S15" i="3"/>
  <c r="N25" i="3"/>
  <c r="S40" i="3"/>
  <c r="S50" i="3"/>
  <c r="N64" i="3"/>
  <c r="S64" i="3" s="1"/>
  <c r="R84" i="3"/>
  <c r="R52" i="3"/>
  <c r="N43" i="3"/>
  <c r="S16" i="3"/>
  <c r="S31" i="3"/>
  <c r="R34" i="3"/>
  <c r="S51" i="3"/>
  <c r="R100" i="3"/>
  <c r="Y24" i="2"/>
  <c r="Y16" i="2"/>
  <c r="Y40" i="2"/>
  <c r="Y56" i="2"/>
  <c r="T8" i="2"/>
  <c r="T40" i="2"/>
  <c r="Y44" i="2"/>
  <c r="Y48" i="2" s="1"/>
  <c r="T71" i="2"/>
  <c r="T16" i="2"/>
  <c r="T48" i="2"/>
  <c r="Y78" i="2"/>
  <c r="Y85" i="2"/>
  <c r="Y87" i="2" s="1"/>
  <c r="Q87" i="1"/>
  <c r="R79" i="1"/>
  <c r="M79" i="1"/>
  <c r="R71" i="1"/>
  <c r="M71" i="1"/>
  <c r="M56" i="1"/>
  <c r="Q56" i="1"/>
  <c r="Q48" i="1"/>
  <c r="Q40" i="1"/>
  <c r="R32" i="1"/>
  <c r="M32" i="1"/>
  <c r="R8" i="1"/>
  <c r="Q8" i="1"/>
  <c r="R21" i="1"/>
  <c r="Q24" i="1"/>
  <c r="M24" i="1"/>
  <c r="R20" i="1"/>
  <c r="R24" i="1" s="1"/>
  <c r="N24" i="1"/>
  <c r="L24" i="1"/>
  <c r="R28" i="5"/>
  <c r="R29" i="5"/>
  <c r="S28" i="5"/>
  <c r="P37" i="5"/>
  <c r="R44" i="5"/>
  <c r="O45" i="5"/>
  <c r="S44" i="5"/>
  <c r="M45" i="5"/>
  <c r="N45" i="5"/>
  <c r="R35" i="5"/>
  <c r="R37" i="5" s="1"/>
  <c r="S35" i="5"/>
  <c r="O37" i="5"/>
  <c r="R43" i="5"/>
  <c r="R45" i="5" s="1"/>
  <c r="N27" i="5"/>
  <c r="S27" i="5" s="1"/>
  <c r="S36" i="5"/>
  <c r="N33" i="5"/>
  <c r="P29" i="5"/>
  <c r="N29" i="5"/>
  <c r="R42" i="5"/>
  <c r="S42" i="5" s="1"/>
  <c r="S34" i="5"/>
  <c r="R26" i="5"/>
  <c r="R41" i="5"/>
  <c r="S41" i="5"/>
  <c r="R33" i="5"/>
  <c r="R25" i="5"/>
  <c r="S25" i="5"/>
  <c r="I99" i="3"/>
  <c r="H99" i="3"/>
  <c r="G99" i="3"/>
  <c r="E99" i="3"/>
  <c r="C99" i="3"/>
  <c r="G91" i="3"/>
  <c r="F91" i="3"/>
  <c r="E91" i="3"/>
  <c r="D91" i="3"/>
  <c r="C91" i="3"/>
  <c r="G83" i="3"/>
  <c r="F83" i="3"/>
  <c r="E83" i="3"/>
  <c r="D83" i="3"/>
  <c r="C83" i="3"/>
  <c r="G74" i="3"/>
  <c r="F74" i="3"/>
  <c r="E74" i="3"/>
  <c r="D74" i="3"/>
  <c r="C74" i="3"/>
  <c r="G65" i="3"/>
  <c r="F65" i="3"/>
  <c r="E65" i="3"/>
  <c r="D65" i="3"/>
  <c r="C65" i="3"/>
  <c r="G57" i="3"/>
  <c r="F57" i="3"/>
  <c r="E57" i="3"/>
  <c r="D57" i="3"/>
  <c r="C57" i="3"/>
  <c r="G49" i="3"/>
  <c r="F49" i="3"/>
  <c r="E49" i="3"/>
  <c r="D49" i="3"/>
  <c r="C49" i="3"/>
  <c r="G41" i="3"/>
  <c r="F41" i="3"/>
  <c r="E41" i="3"/>
  <c r="D41" i="3"/>
  <c r="C41" i="3"/>
  <c r="G33" i="3"/>
  <c r="F33" i="3"/>
  <c r="E33" i="3"/>
  <c r="D33" i="3"/>
  <c r="C33" i="3"/>
  <c r="G25" i="3"/>
  <c r="F25" i="3"/>
  <c r="E25" i="3"/>
  <c r="D25" i="3"/>
  <c r="C25" i="3"/>
  <c r="G17" i="3"/>
  <c r="F17" i="3"/>
  <c r="E17" i="3"/>
  <c r="D17" i="3"/>
  <c r="C17" i="3"/>
  <c r="G8" i="3"/>
  <c r="F8" i="3"/>
  <c r="E8" i="3"/>
  <c r="D8" i="3"/>
  <c r="C8" i="3"/>
  <c r="C78" i="2"/>
  <c r="C97" i="2"/>
  <c r="F80" i="2"/>
  <c r="D107" i="2"/>
  <c r="E107" i="2"/>
  <c r="F107" i="2"/>
  <c r="G107" i="2"/>
  <c r="D98" i="2"/>
  <c r="E98" i="2"/>
  <c r="F98" i="2"/>
  <c r="G98" i="2"/>
  <c r="D89" i="2"/>
  <c r="E89" i="2"/>
  <c r="F89" i="2"/>
  <c r="G89" i="2"/>
  <c r="D80" i="2"/>
  <c r="E80" i="2"/>
  <c r="G80" i="2"/>
  <c r="H80" i="2"/>
  <c r="D71" i="2"/>
  <c r="E71" i="2"/>
  <c r="F71" i="2"/>
  <c r="G71" i="2"/>
  <c r="D62" i="2"/>
  <c r="E62" i="2"/>
  <c r="F62" i="2"/>
  <c r="G62" i="2"/>
  <c r="L8" i="2"/>
  <c r="M8" i="2"/>
  <c r="N8" i="2"/>
  <c r="O8" i="2"/>
  <c r="L17" i="2"/>
  <c r="M17" i="2"/>
  <c r="N17" i="2"/>
  <c r="O17" i="2"/>
  <c r="L26" i="2"/>
  <c r="M26" i="2"/>
  <c r="N26" i="2"/>
  <c r="O26" i="2"/>
  <c r="L35" i="2"/>
  <c r="M35" i="2"/>
  <c r="N35" i="2"/>
  <c r="O35" i="2"/>
  <c r="D44" i="2"/>
  <c r="E44" i="2"/>
  <c r="F44" i="2"/>
  <c r="G44" i="2"/>
  <c r="D53" i="2"/>
  <c r="E53" i="2"/>
  <c r="F53" i="2"/>
  <c r="G53" i="2"/>
  <c r="K34" i="2"/>
  <c r="C97" i="1"/>
  <c r="C89" i="1"/>
  <c r="C79" i="1"/>
  <c r="C70" i="1"/>
  <c r="C35" i="1"/>
  <c r="C33" i="1"/>
  <c r="C6" i="1"/>
  <c r="F35" i="1"/>
  <c r="G35" i="1"/>
  <c r="C32" i="1"/>
  <c r="D8" i="1"/>
  <c r="E8" i="1"/>
  <c r="F8" i="1"/>
  <c r="G8" i="1"/>
  <c r="D17" i="1"/>
  <c r="E17" i="1"/>
  <c r="F17" i="1"/>
  <c r="G17" i="1"/>
  <c r="D26" i="1"/>
  <c r="E26" i="1"/>
  <c r="F26" i="1"/>
  <c r="G26" i="1"/>
  <c r="D35" i="1"/>
  <c r="E35" i="1"/>
  <c r="H35" i="1"/>
  <c r="D44" i="1"/>
  <c r="E44" i="1"/>
  <c r="F44" i="1"/>
  <c r="G44" i="1"/>
  <c r="D53" i="1"/>
  <c r="E53" i="1"/>
  <c r="F53" i="1"/>
  <c r="G53" i="1"/>
  <c r="G62" i="1"/>
  <c r="D62" i="1"/>
  <c r="E62" i="1"/>
  <c r="F62" i="1"/>
  <c r="D71" i="1"/>
  <c r="E71" i="1"/>
  <c r="F71" i="1"/>
  <c r="G71" i="1"/>
  <c r="D80" i="1"/>
  <c r="E80" i="1"/>
  <c r="F80" i="1"/>
  <c r="G80" i="1"/>
  <c r="D89" i="1"/>
  <c r="E89" i="1"/>
  <c r="F89" i="1"/>
  <c r="G89" i="1"/>
  <c r="D98" i="1"/>
  <c r="E98" i="1"/>
  <c r="F98" i="1"/>
  <c r="G98" i="1"/>
  <c r="D107" i="1"/>
  <c r="E107" i="1"/>
  <c r="F107" i="1"/>
  <c r="G107" i="1"/>
  <c r="Y79" i="2" l="1"/>
  <c r="R25" i="3"/>
  <c r="R60" i="3"/>
  <c r="R68" i="3"/>
  <c r="S91" i="3"/>
  <c r="S30" i="3"/>
  <c r="M100" i="3"/>
  <c r="S76" i="3"/>
  <c r="S68" i="3"/>
  <c r="S92" i="3"/>
  <c r="N100" i="3"/>
  <c r="N92" i="3"/>
  <c r="S48" i="3"/>
  <c r="S52" i="3" s="1"/>
  <c r="N68" i="3"/>
  <c r="S17" i="3"/>
  <c r="S8" i="3"/>
  <c r="S43" i="3"/>
  <c r="S84" i="3"/>
  <c r="S25" i="3"/>
  <c r="S96" i="3"/>
  <c r="S100" i="3" s="1"/>
  <c r="S34" i="3"/>
  <c r="N84" i="3"/>
  <c r="S56" i="3"/>
  <c r="S60" i="3" s="1"/>
  <c r="N76" i="3"/>
  <c r="S29" i="5"/>
  <c r="S37" i="5"/>
  <c r="S43" i="5"/>
  <c r="S45" i="5" s="1"/>
  <c r="S33" i="5"/>
  <c r="S26" i="5"/>
  <c r="C44" i="1"/>
  <c r="C17" i="1"/>
  <c r="C53" i="1"/>
  <c r="C107" i="1"/>
  <c r="C107" i="2"/>
  <c r="K8" i="2"/>
  <c r="C98" i="2"/>
  <c r="C53" i="2"/>
  <c r="K35" i="2"/>
  <c r="K17" i="2"/>
  <c r="C89" i="2"/>
  <c r="C80" i="2"/>
  <c r="C71" i="2"/>
  <c r="C62" i="2"/>
  <c r="C44" i="2"/>
  <c r="K26" i="2"/>
  <c r="C98" i="1"/>
  <c r="C80" i="1"/>
  <c r="C71" i="1"/>
  <c r="C62" i="1"/>
  <c r="C26" i="1"/>
  <c r="C8" i="1"/>
</calcChain>
</file>

<file path=xl/sharedStrings.xml><?xml version="1.0" encoding="utf-8"?>
<sst xmlns="http://schemas.openxmlformats.org/spreadsheetml/2006/main" count="1156" uniqueCount="107">
  <si>
    <t>DIRECTOR GENERAL</t>
  </si>
  <si>
    <t>COORDINADOR PLANEACION</t>
  </si>
  <si>
    <t>COORDINADOR ADMVO</t>
  </si>
  <si>
    <t>JEFE DE PROYECTOS</t>
  </si>
  <si>
    <t>DESCRIPCIÓN DE CATEGORÍA</t>
  </si>
  <si>
    <t xml:space="preserve"> SUELDO BASE MENSUAL </t>
  </si>
  <si>
    <t xml:space="preserve">AYUDA A DESPENSA </t>
  </si>
  <si>
    <t xml:space="preserve">AYUDA A TRANSPORTE </t>
  </si>
  <si>
    <t xml:space="preserve">PRIMA VACACIONAL </t>
  </si>
  <si>
    <t>AGUINALDO</t>
  </si>
  <si>
    <t>TOTALES</t>
  </si>
  <si>
    <t>No.</t>
  </si>
  <si>
    <t>REMUNERACIONES MENSUALES POR PUESTO ENERO DEL 2018</t>
  </si>
  <si>
    <t>REMUNERACIONES MENSUALES POR PUESTO FEBRERO DEL 2018</t>
  </si>
  <si>
    <t>REMUNERACIONES MENSUALES POR PUESTO MARZO DEL 2018</t>
  </si>
  <si>
    <t>REMUNERACIONES MENSUALES POR PUESTO ABRIL DEL 2018</t>
  </si>
  <si>
    <t>REMUNERACIONES MENSUALES POR PUESTO MAYO DEL 2018</t>
  </si>
  <si>
    <t>REMUNERACIONES MENSUALES POR PUESTO JUNIO DEL 2018</t>
  </si>
  <si>
    <t>REMUNERACIONES MENSUALES POR PUESTO JULIO DEL 2018</t>
  </si>
  <si>
    <t>REMUNERACIONES MENSUALES POR PUESTO AGOSTO DEL 2018</t>
  </si>
  <si>
    <t>REMUNERACIONES MENSUALES POR PUESTO SEPTIEMBRE DEL 2018</t>
  </si>
  <si>
    <t>REMUNERACIONES MENSUALES POR PUESTO OCTUBRE DEL 2018</t>
  </si>
  <si>
    <t>REMUNERACIONES MENSUALES POR PUESTO NOVIEMBRE DEL 2018</t>
  </si>
  <si>
    <t>REMUNERACIONES MENSUALES POR PUESTO DICIEMBRE DEL 2018</t>
  </si>
  <si>
    <t>VACACIONES</t>
  </si>
  <si>
    <t>REMUNERACIONES MENSUALES POR PUESTO ENERO DEL 2019</t>
  </si>
  <si>
    <t>REMUNERACIONES MENSUALES POR PUESTO FEBRERO DEL 2019</t>
  </si>
  <si>
    <t>REMUNERACIONES MENSUALES POR PUESTO MARZO DEL 2019</t>
  </si>
  <si>
    <t>REMUNERACIONES MENSUALES POR PUESTO ABRIL DEL 2019</t>
  </si>
  <si>
    <t>REMUNERACIONES MENSUALES POR PUESTO MAYO DEL 2019</t>
  </si>
  <si>
    <t>REMUNERACIONES MENSUALES POR PUESTO JUNIO DEL 2019</t>
  </si>
  <si>
    <t>REMUNERACIONES MENSUALES POR PUESTO JULIO DEL 2019</t>
  </si>
  <si>
    <t>REMUNERACIONES MENSUALES POR PUESTO AGOSTO DEL 2019</t>
  </si>
  <si>
    <t>REMUNERACIONES MENSUALES POR PUESTO SEPTIEMBRE DEL 2019</t>
  </si>
  <si>
    <t>REMUNERACIONES MENSUALES POR PUESTO OCTUBRE DEL 2019</t>
  </si>
  <si>
    <t>REMUNERACIONES MENSUALES POR PUESTO NOVIEMBRE DEL 2019</t>
  </si>
  <si>
    <t>REMUNERACIONES MENSUALES POR PUESTO DICIEMBRE DEL 2019</t>
  </si>
  <si>
    <t>REMUNERACIONES MENSUALES POR PUESTO ENERO DEL 2020</t>
  </si>
  <si>
    <t>REMUNERACIONES MENSUALES POR PUESTO FEBRERO DEL 2020</t>
  </si>
  <si>
    <t>REMUNERACIONES MENSUALES POR PUESTO MARZO DEL 2020</t>
  </si>
  <si>
    <t>REMUNERACIONES MENSUALES POR PUESTO ABRIL DEL 2020</t>
  </si>
  <si>
    <t>REMUNERACIONES MENSUALES POR PUESTO MAYO DEL 2020</t>
  </si>
  <si>
    <t>REMUNERACIONES MENSUALES POR PUESTO JUNIO DEL 2020</t>
  </si>
  <si>
    <t>REMUNERACIONES MENSUALES POR PUESTO JULIO DEL 2020</t>
  </si>
  <si>
    <t>REMUNERACIONES MENSUALES POR PUESTO AGOSTO DEL 2020</t>
  </si>
  <si>
    <t>REMUNERACIONES MENSUALES POR PUESTO SEPTIEMBRE DEL 2020</t>
  </si>
  <si>
    <t>REMUNERACIONES MENSUALES POR PUESTO OCTUBRE DEL 2020</t>
  </si>
  <si>
    <t>REMUNERACIONES MENSUALES POR PUESTO NOVIEMBRE DEL 2020</t>
  </si>
  <si>
    <t>REMUNERACIONES MENSUALES POR PUESTO DICIEMBRE DEL 2020</t>
  </si>
  <si>
    <t>SEPARACIÓN ÚNICA</t>
  </si>
  <si>
    <t>PRIMA DE ANTIGÜEDAD</t>
  </si>
  <si>
    <t>INDEMNIZACIÓN</t>
  </si>
  <si>
    <t>ISR</t>
  </si>
  <si>
    <t>IMSS</t>
  </si>
  <si>
    <t>TOTAL PERCEPCIONES</t>
  </si>
  <si>
    <t>I.S.R.</t>
  </si>
  <si>
    <t>Ajuste al neto</t>
  </si>
  <si>
    <t>Otras deducciones</t>
  </si>
  <si>
    <t>TOTAL DEDUCCIONES</t>
  </si>
  <si>
    <t>NETO</t>
  </si>
  <si>
    <t>NOMINAS COMPLETAS MENSUALES POR PUESTO OCTUBRE DEL 2017</t>
  </si>
  <si>
    <t>NOMINAS COMPLETAS MENSUALES POR PUESTO ENERO DEL 2018</t>
  </si>
  <si>
    <t>NOMINAS COMPLETAS MENSUALES POR PUESTO JULIO DEL 2017</t>
  </si>
  <si>
    <t>NOMINAS COMPLETAS MENSUALES POR PUESTO AGOSTO DEL 2017</t>
  </si>
  <si>
    <t>NOMINAS COMPLETAS MENSUALES POR PUESTO SEPTIEMBRE DEL 2017</t>
  </si>
  <si>
    <t>NOMINAS COMPLETAS MENSUALES POR PUESTO NOVIEMBRE DEL 2017</t>
  </si>
  <si>
    <t>NOMINAS COMPLETAS MENSUALES POR PUESTO DICIEMBRE DEL 2017</t>
  </si>
  <si>
    <t>NOMINAS COMPLETAS MENSUALES POR PUESTO FEBRERO DEL 2018</t>
  </si>
  <si>
    <t>NOMINAS COMPLETAS MENSUALES POR PUESTO MARZO DEL 2018</t>
  </si>
  <si>
    <t>NOMINAS COMPLETAS MENSUALES POR PUESTO DICIEMBRE DEL 2018</t>
  </si>
  <si>
    <t>NOMINAS COMPLETAS MENSUALES POR PUESTO NOVIEMBRE DEL 2018</t>
  </si>
  <si>
    <t>NOMINAS COMPLETAS MENSUALES POR PUESTO OCTUBRE DEL 2018</t>
  </si>
  <si>
    <t>NOMINAS COMPLETAS MENSUALES POR PUESTO SEPTIEMBRE DEL 2018</t>
  </si>
  <si>
    <t>NOMINAS COMPLETAS MENSUALES POR PUESTO AGOSTO DEL 2018</t>
  </si>
  <si>
    <t>NOMINAS COMPLETAS MENSUALES POR PUESTO JULIO DEL 2018</t>
  </si>
  <si>
    <t>NOMINAS COMPLETAS MENSUALES POR PUESTO JUNIO DEL 2018</t>
  </si>
  <si>
    <t>NOMINAS COMPLETAS MENSUALES POR PUESTO MAYO DEL 2018</t>
  </si>
  <si>
    <t>NOMINAS COMPLETAS MENSUALES POR PUESTO ABRIL DEL 2018</t>
  </si>
  <si>
    <t>NOMINAS COMPLETAS MENSUALES POR PUESTO ENERO DEL 2021</t>
  </si>
  <si>
    <t>NOMINAS COMPLETAS MENSUALES POR PUESTO FEBRERO DEL 2021</t>
  </si>
  <si>
    <t>NOMINAS COMPLETAS MENSUALES POR PUESTO MARZO DEL 2021</t>
  </si>
  <si>
    <t>NOMINAS COMPLETAS MENSUALES POR PUESTO ENERO DEL 2020</t>
  </si>
  <si>
    <t>NOMINAS COMPLETAS MENSUALES POR PUESTO FEBRERO DEL 2020</t>
  </si>
  <si>
    <t>NOMINAS COMPLETAS MENSUALES POR PUESTO MARZO DEL 2020</t>
  </si>
  <si>
    <t>NOMINAS COMPLETAS MENSUALES POR PUESTO ABRIL DEL 2020</t>
  </si>
  <si>
    <t>NOMINAS COMPLETAS MENSUALES POR PUESTO MAYO DEL 2020</t>
  </si>
  <si>
    <t>NOMINAS COMPLETAS MENSUALES POR PUESTO JUNIO DEL 2020</t>
  </si>
  <si>
    <t>NOMINAS COMPLETAS MENSUALES POR PUESTO JULIO DEL 2020</t>
  </si>
  <si>
    <t>NOMINAS COMPLETAS MENSUALES POR PUESTO AGOSTO DEL 2020</t>
  </si>
  <si>
    <t>NOMINAS COMPLETAS MENSUALES POR PUESTO SEPTIEMBRE DEL 2020</t>
  </si>
  <si>
    <t>NOMINAS COMPLETAS MENSUALES POR PUESTO OCTUBRE DEL 2020</t>
  </si>
  <si>
    <t>NOMINAS COMPLETAS MENSUALES POR PUESTO NOVIEMBRE DEL 2020</t>
  </si>
  <si>
    <t>NOMINAS COMPLETAS MENSUALES POR PUESTO DICIEMBRE DEL 2020</t>
  </si>
  <si>
    <t>NOMINAS COMPLETAS MENSUALES POR PUESTO ENERO DEL 2019</t>
  </si>
  <si>
    <t>NOMINAS COMPLETAS MENSUALES POR PUESTO FEBRERO DEL 2019</t>
  </si>
  <si>
    <t>NOMINAS COMPLETAS MENSUALES POR PUESTO MARZO DEL 2019</t>
  </si>
  <si>
    <t>NOMINAS COMPLETAS MENSUALES POR PUESTO ABRIL DEL 2019</t>
  </si>
  <si>
    <t>NOMINAS COMPLETAS MENSUALES POR PUESTO MAYO DEL 2019</t>
  </si>
  <si>
    <t>NOMINAS COMPLETAS MENSUALES POR PUESTO JUNIO DEL 2019</t>
  </si>
  <si>
    <t>NOMINAS COMPLETAS MENSUALES POR PUESTO JULIO DEL 2019</t>
  </si>
  <si>
    <t>NOMINAS COMPLETAS MENSUALES POR PUESTO AGOSTO DEL 2019</t>
  </si>
  <si>
    <t>NOMINAS COMPLETAS MENSUALES POR PUESTO SEPTIEMBRE DEL 2019</t>
  </si>
  <si>
    <t>NOMINAS COMPLETAS MENSUALES POR PUESTO OCTUBRE DEL 2019</t>
  </si>
  <si>
    <t>NOMINAS COMPLETAS MENSUALES POR PUESTO NOVIEMBRE DEL 2019</t>
  </si>
  <si>
    <t>NOMINAS COMPLETAS MENSUALES POR PUESTO DICIEMBRE DEL 2019</t>
  </si>
  <si>
    <t>SALARIO</t>
  </si>
  <si>
    <t>COORDINADOR DE 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</si>
</sst>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Open Sans"/>
      <family val="2"/>
    </font>
    <font>
      <sz val="11"/>
      <name val="Calibri"/>
      <family val="2"/>
      <scheme val="minor"/>
    </font>
    <font>
      <sz val="14"/>
      <name val="Open Sans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6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Alignment="1">
      <alignment wrapText="1"/>
    </xf>
    <xf numFmtId="44" fontId="0" fillId="0" borderId="0" xfId="1" applyFont="1"/>
    <xf numFmtId="0" fontId="3" fillId="0" borderId="0" xfId="0" applyFont="1"/>
    <xf numFmtId="0" fontId="5" fillId="0" borderId="1" xfId="0" applyFont="1" applyBorder="1" applyAlignment="1">
      <alignment wrapText="1"/>
    </xf>
    <xf numFmtId="0" fontId="6" fillId="0" borderId="1" xfId="0" applyFont="1" applyBorder="1" applyAlignment="1">
      <alignment horizontal="center"/>
    </xf>
    <xf numFmtId="43" fontId="6" fillId="0" borderId="1" xfId="0" applyNumberFormat="1" applyFont="1" applyBorder="1"/>
    <xf numFmtId="0" fontId="5" fillId="3" borderId="1" xfId="0" applyFont="1" applyFill="1" applyBorder="1" applyAlignment="1">
      <alignment wrapText="1"/>
    </xf>
    <xf numFmtId="0" fontId="0" fillId="3" borderId="1" xfId="0" applyFill="1" applyBorder="1" applyAlignment="1">
      <alignment textRotation="90"/>
    </xf>
    <xf numFmtId="4" fontId="0" fillId="0" borderId="0" xfId="0" applyNumberFormat="1" applyAlignment="1">
      <alignment wrapText="1"/>
    </xf>
    <xf numFmtId="44" fontId="0" fillId="0" borderId="1" xfId="1" applyFont="1" applyBorder="1"/>
    <xf numFmtId="44" fontId="0" fillId="0" borderId="1" xfId="1" applyFont="1" applyBorder="1" applyAlignment="1">
      <alignment horizontal="center"/>
    </xf>
    <xf numFmtId="44" fontId="5" fillId="3" borderId="1" xfId="1" applyFont="1" applyFill="1" applyBorder="1" applyAlignment="1">
      <alignment wrapText="1"/>
    </xf>
    <xf numFmtId="44" fontId="6" fillId="0" borderId="1" xfId="1" applyFont="1" applyBorder="1"/>
    <xf numFmtId="44" fontId="0" fillId="0" borderId="0" xfId="1" applyFont="1" applyAlignment="1">
      <alignment wrapText="1"/>
    </xf>
    <xf numFmtId="0" fontId="2" fillId="2" borderId="0" xfId="0" applyFont="1" applyFill="1" applyAlignment="1">
      <alignment vertical="center" wrapText="1"/>
    </xf>
    <xf numFmtId="0" fontId="4" fillId="2" borderId="0" xfId="0" applyFont="1" applyFill="1" applyAlignment="1">
      <alignment vertical="top" wrapText="1"/>
    </xf>
    <xf numFmtId="8" fontId="4" fillId="2" borderId="0" xfId="0" applyNumberFormat="1" applyFont="1" applyFill="1" applyAlignment="1">
      <alignment vertical="top" wrapText="1"/>
    </xf>
    <xf numFmtId="44" fontId="0" fillId="4" borderId="1" xfId="1" applyFont="1" applyFill="1" applyBorder="1"/>
    <xf numFmtId="44" fontId="0" fillId="4" borderId="1" xfId="1" applyFont="1" applyFill="1" applyBorder="1" applyAlignment="1">
      <alignment horizontal="center"/>
    </xf>
    <xf numFmtId="8" fontId="0" fillId="0" borderId="0" xfId="0" applyNumberFormat="1"/>
    <xf numFmtId="0" fontId="5" fillId="3" borderId="1" xfId="0" applyFont="1" applyFill="1" applyBorder="1" applyAlignment="1">
      <alignment horizontal="center" wrapText="1"/>
    </xf>
    <xf numFmtId="44" fontId="0" fillId="0" borderId="0" xfId="0" applyNumberFormat="1"/>
    <xf numFmtId="0" fontId="5" fillId="0" borderId="1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0" fillId="5" borderId="0" xfId="0" applyFill="1"/>
    <xf numFmtId="0" fontId="6" fillId="0" borderId="2" xfId="0" applyFont="1" applyBorder="1" applyAlignment="1">
      <alignment horizontal="center"/>
    </xf>
    <xf numFmtId="43" fontId="6" fillId="0" borderId="2" xfId="0" applyNumberFormat="1" applyFont="1" applyBorder="1"/>
    <xf numFmtId="0" fontId="6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0" fillId="0" borderId="0" xfId="0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3" borderId="1" xfId="0" applyFill="1" applyBorder="1" applyAlignment="1">
      <alignment vertical="center" textRotation="90"/>
    </xf>
    <xf numFmtId="0" fontId="5" fillId="3" borderId="1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44" fontId="0" fillId="0" borderId="1" xfId="1" applyFont="1" applyBorder="1" applyAlignment="1">
      <alignment horizontal="center" vertical="center"/>
    </xf>
    <xf numFmtId="44" fontId="0" fillId="0" borderId="1" xfId="1" applyFont="1" applyBorder="1" applyAlignment="1">
      <alignment vertical="center"/>
    </xf>
    <xf numFmtId="0" fontId="0" fillId="0" borderId="1" xfId="0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44" fontId="6" fillId="0" borderId="1" xfId="1" applyFont="1" applyBorder="1" applyAlignment="1">
      <alignment horizontal="center" vertical="center"/>
    </xf>
    <xf numFmtId="44" fontId="6" fillId="0" borderId="1" xfId="1" applyFont="1" applyBorder="1" applyAlignment="1">
      <alignment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31.xml.rels><?xml version="1.0" encoding="UTF-8" standalone="yes"?>
<Relationships xmlns="http://schemas.openxmlformats.org/package/2006/relationships"><Relationship Id="rId1" Type="http://schemas.microsoft.com/office/2006/relationships/activeXControlBinary" Target="activeX31.bin"/></Relationships>
</file>

<file path=xl/activeX/_rels/activeX32.xml.rels><?xml version="1.0" encoding="UTF-8" standalone="yes"?>
<Relationships xmlns="http://schemas.openxmlformats.org/package/2006/relationships"><Relationship Id="rId1" Type="http://schemas.microsoft.com/office/2006/relationships/activeXControlBinary" Target="activeX32.bin"/></Relationships>
</file>

<file path=xl/activeX/_rels/activeX33.xml.rels><?xml version="1.0" encoding="UTF-8" standalone="yes"?>
<Relationships xmlns="http://schemas.openxmlformats.org/package/2006/relationships"><Relationship Id="rId1" Type="http://schemas.microsoft.com/office/2006/relationships/activeXControlBinary" Target="activeX33.bin"/></Relationships>
</file>

<file path=xl/activeX/_rels/activeX34.xml.rels><?xml version="1.0" encoding="UTF-8" standalone="yes"?>
<Relationships xmlns="http://schemas.openxmlformats.org/package/2006/relationships"><Relationship Id="rId1" Type="http://schemas.microsoft.com/office/2006/relationships/activeXControlBinary" Target="activeX34.bin"/></Relationships>
</file>

<file path=xl/activeX/_rels/activeX35.xml.rels><?xml version="1.0" encoding="UTF-8" standalone="yes"?>
<Relationships xmlns="http://schemas.openxmlformats.org/package/2006/relationships"><Relationship Id="rId1" Type="http://schemas.microsoft.com/office/2006/relationships/activeXControlBinary" Target="activeX35.bin"/></Relationships>
</file>

<file path=xl/activeX/_rels/activeX36.xml.rels><?xml version="1.0" encoding="UTF-8" standalone="yes"?>
<Relationships xmlns="http://schemas.openxmlformats.org/package/2006/relationships"><Relationship Id="rId1" Type="http://schemas.microsoft.com/office/2006/relationships/activeXControlBinary" Target="activeX36.bin"/></Relationships>
</file>

<file path=xl/activeX/_rels/activeX37.xml.rels><?xml version="1.0" encoding="UTF-8" standalone="yes"?>
<Relationships xmlns="http://schemas.openxmlformats.org/package/2006/relationships"><Relationship Id="rId1" Type="http://schemas.microsoft.com/office/2006/relationships/activeXControlBinary" Target="activeX37.bin"/></Relationships>
</file>

<file path=xl/activeX/_rels/activeX38.xml.rels><?xml version="1.0" encoding="UTF-8" standalone="yes"?>
<Relationships xmlns="http://schemas.openxmlformats.org/package/2006/relationships"><Relationship Id="rId1" Type="http://schemas.microsoft.com/office/2006/relationships/activeXControlBinary" Target="activeX38.bin"/></Relationships>
</file>

<file path=xl/activeX/_rels/activeX39.xml.rels><?xml version="1.0" encoding="UTF-8" standalone="yes"?>
<Relationships xmlns="http://schemas.openxmlformats.org/package/2006/relationships"><Relationship Id="rId1" Type="http://schemas.microsoft.com/office/2006/relationships/activeXControlBinary" Target="activeX39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40.xml.rels><?xml version="1.0" encoding="UTF-8" standalone="yes"?>
<Relationships xmlns="http://schemas.openxmlformats.org/package/2006/relationships"><Relationship Id="rId1" Type="http://schemas.microsoft.com/office/2006/relationships/activeXControlBinary" Target="activeX40.bin"/></Relationships>
</file>

<file path=xl/activeX/_rels/activeX41.xml.rels><?xml version="1.0" encoding="UTF-8" standalone="yes"?>
<Relationships xmlns="http://schemas.openxmlformats.org/package/2006/relationships"><Relationship Id="rId1" Type="http://schemas.microsoft.com/office/2006/relationships/activeXControlBinary" Target="activeX41.bin"/></Relationships>
</file>

<file path=xl/activeX/_rels/activeX42.xml.rels><?xml version="1.0" encoding="UTF-8" standalone="yes"?>
<Relationships xmlns="http://schemas.openxmlformats.org/package/2006/relationships"><Relationship Id="rId1" Type="http://schemas.microsoft.com/office/2006/relationships/activeXControlBinary" Target="activeX42.bin"/></Relationships>
</file>

<file path=xl/activeX/_rels/activeX43.xml.rels><?xml version="1.0" encoding="UTF-8" standalone="yes"?>
<Relationships xmlns="http://schemas.openxmlformats.org/package/2006/relationships"><Relationship Id="rId1" Type="http://schemas.microsoft.com/office/2006/relationships/activeXControlBinary" Target="activeX43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</xdr:colOff>
          <xdr:row>2</xdr:row>
          <xdr:rowOff>0</xdr:rowOff>
        </xdr:from>
        <xdr:to>
          <xdr:col>1</xdr:col>
          <xdr:colOff>186690</xdr:colOff>
          <xdr:row>2</xdr:row>
          <xdr:rowOff>198120</xdr:rowOff>
        </xdr:to>
        <xdr:sp macro="" textlink="">
          <xdr:nvSpPr>
            <xdr:cNvPr id="1025" name="Control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2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</xdr:colOff>
          <xdr:row>3</xdr:row>
          <xdr:rowOff>3810</xdr:rowOff>
        </xdr:from>
        <xdr:to>
          <xdr:col>1</xdr:col>
          <xdr:colOff>186690</xdr:colOff>
          <xdr:row>4</xdr:row>
          <xdr:rowOff>20955</xdr:rowOff>
        </xdr:to>
        <xdr:sp macro="" textlink="">
          <xdr:nvSpPr>
            <xdr:cNvPr id="1026" name="Control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2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</xdr:colOff>
          <xdr:row>4</xdr:row>
          <xdr:rowOff>5715</xdr:rowOff>
        </xdr:from>
        <xdr:to>
          <xdr:col>1</xdr:col>
          <xdr:colOff>186690</xdr:colOff>
          <xdr:row>5</xdr:row>
          <xdr:rowOff>22860</xdr:rowOff>
        </xdr:to>
        <xdr:sp macro="" textlink="">
          <xdr:nvSpPr>
            <xdr:cNvPr id="1027" name="Control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2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</xdr:colOff>
          <xdr:row>5</xdr:row>
          <xdr:rowOff>15240</xdr:rowOff>
        </xdr:from>
        <xdr:to>
          <xdr:col>1</xdr:col>
          <xdr:colOff>186690</xdr:colOff>
          <xdr:row>6</xdr:row>
          <xdr:rowOff>32385</xdr:rowOff>
        </xdr:to>
        <xdr:sp macro="" textlink="">
          <xdr:nvSpPr>
            <xdr:cNvPr id="1028" name="Control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2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</xdr:colOff>
          <xdr:row>6</xdr:row>
          <xdr:rowOff>17145</xdr:rowOff>
        </xdr:from>
        <xdr:to>
          <xdr:col>1</xdr:col>
          <xdr:colOff>186690</xdr:colOff>
          <xdr:row>7</xdr:row>
          <xdr:rowOff>34290</xdr:rowOff>
        </xdr:to>
        <xdr:sp macro="" textlink="">
          <xdr:nvSpPr>
            <xdr:cNvPr id="1029" name="Control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2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</xdr:colOff>
          <xdr:row>7</xdr:row>
          <xdr:rowOff>34290</xdr:rowOff>
        </xdr:from>
        <xdr:to>
          <xdr:col>1</xdr:col>
          <xdr:colOff>186690</xdr:colOff>
          <xdr:row>8</xdr:row>
          <xdr:rowOff>3810</xdr:rowOff>
        </xdr:to>
        <xdr:sp macro="" textlink="">
          <xdr:nvSpPr>
            <xdr:cNvPr id="1030" name="Control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2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</xdr:colOff>
          <xdr:row>8</xdr:row>
          <xdr:rowOff>57150</xdr:rowOff>
        </xdr:from>
        <xdr:to>
          <xdr:col>1</xdr:col>
          <xdr:colOff>186690</xdr:colOff>
          <xdr:row>9</xdr:row>
          <xdr:rowOff>74295</xdr:rowOff>
        </xdr:to>
        <xdr:sp macro="" textlink="">
          <xdr:nvSpPr>
            <xdr:cNvPr id="1031" name="Control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2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</xdr:colOff>
          <xdr:row>9</xdr:row>
          <xdr:rowOff>59055</xdr:rowOff>
        </xdr:from>
        <xdr:to>
          <xdr:col>1</xdr:col>
          <xdr:colOff>186690</xdr:colOff>
          <xdr:row>10</xdr:row>
          <xdr:rowOff>28575</xdr:rowOff>
        </xdr:to>
        <xdr:sp macro="" textlink="">
          <xdr:nvSpPr>
            <xdr:cNvPr id="1032" name="Control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2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</xdr:colOff>
          <xdr:row>10</xdr:row>
          <xdr:rowOff>74295</xdr:rowOff>
        </xdr:from>
        <xdr:to>
          <xdr:col>1</xdr:col>
          <xdr:colOff>186690</xdr:colOff>
          <xdr:row>10</xdr:row>
          <xdr:rowOff>272415</xdr:rowOff>
        </xdr:to>
        <xdr:sp macro="" textlink="">
          <xdr:nvSpPr>
            <xdr:cNvPr id="1033" name="Control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2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</xdr:colOff>
          <xdr:row>11</xdr:row>
          <xdr:rowOff>76200</xdr:rowOff>
        </xdr:from>
        <xdr:to>
          <xdr:col>1</xdr:col>
          <xdr:colOff>186690</xdr:colOff>
          <xdr:row>11</xdr:row>
          <xdr:rowOff>274320</xdr:rowOff>
        </xdr:to>
        <xdr:sp macro="" textlink="">
          <xdr:nvSpPr>
            <xdr:cNvPr id="1034" name="Control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2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</xdr:colOff>
          <xdr:row>12</xdr:row>
          <xdr:rowOff>80010</xdr:rowOff>
        </xdr:from>
        <xdr:to>
          <xdr:col>1</xdr:col>
          <xdr:colOff>186690</xdr:colOff>
          <xdr:row>13</xdr:row>
          <xdr:rowOff>97155</xdr:rowOff>
        </xdr:to>
        <xdr:sp macro="" textlink="">
          <xdr:nvSpPr>
            <xdr:cNvPr id="1035" name="Control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2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</xdr:colOff>
          <xdr:row>13</xdr:row>
          <xdr:rowOff>89535</xdr:rowOff>
        </xdr:from>
        <xdr:to>
          <xdr:col>1</xdr:col>
          <xdr:colOff>186690</xdr:colOff>
          <xdr:row>14</xdr:row>
          <xdr:rowOff>106680</xdr:rowOff>
        </xdr:to>
        <xdr:sp macro="" textlink="">
          <xdr:nvSpPr>
            <xdr:cNvPr id="1036" name="Control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2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</xdr:colOff>
          <xdr:row>14</xdr:row>
          <xdr:rowOff>91440</xdr:rowOff>
        </xdr:from>
        <xdr:to>
          <xdr:col>1</xdr:col>
          <xdr:colOff>186690</xdr:colOff>
          <xdr:row>15</xdr:row>
          <xdr:rowOff>108585</xdr:rowOff>
        </xdr:to>
        <xdr:sp macro="" textlink="">
          <xdr:nvSpPr>
            <xdr:cNvPr id="1037" name="Control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2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</xdr:colOff>
          <xdr:row>15</xdr:row>
          <xdr:rowOff>100965</xdr:rowOff>
        </xdr:from>
        <xdr:to>
          <xdr:col>1</xdr:col>
          <xdr:colOff>186690</xdr:colOff>
          <xdr:row>16</xdr:row>
          <xdr:rowOff>70485</xdr:rowOff>
        </xdr:to>
        <xdr:sp macro="" textlink="">
          <xdr:nvSpPr>
            <xdr:cNvPr id="1038" name="Control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2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</xdr:colOff>
          <xdr:row>17</xdr:row>
          <xdr:rowOff>100965</xdr:rowOff>
        </xdr:from>
        <xdr:to>
          <xdr:col>1</xdr:col>
          <xdr:colOff>186690</xdr:colOff>
          <xdr:row>18</xdr:row>
          <xdr:rowOff>70485</xdr:rowOff>
        </xdr:to>
        <xdr:sp macro="" textlink="">
          <xdr:nvSpPr>
            <xdr:cNvPr id="1039" name="Control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2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</xdr:colOff>
          <xdr:row>18</xdr:row>
          <xdr:rowOff>108585</xdr:rowOff>
        </xdr:from>
        <xdr:to>
          <xdr:col>1</xdr:col>
          <xdr:colOff>186690</xdr:colOff>
          <xdr:row>18</xdr:row>
          <xdr:rowOff>306705</xdr:rowOff>
        </xdr:to>
        <xdr:sp macro="" textlink="">
          <xdr:nvSpPr>
            <xdr:cNvPr id="1040" name="Control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2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</xdr:colOff>
          <xdr:row>19</xdr:row>
          <xdr:rowOff>127635</xdr:rowOff>
        </xdr:from>
        <xdr:to>
          <xdr:col>1</xdr:col>
          <xdr:colOff>186690</xdr:colOff>
          <xdr:row>20</xdr:row>
          <xdr:rowOff>97155</xdr:rowOff>
        </xdr:to>
        <xdr:sp macro="" textlink="">
          <xdr:nvSpPr>
            <xdr:cNvPr id="1041" name="Control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2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</xdr:colOff>
          <xdr:row>20</xdr:row>
          <xdr:rowOff>112395</xdr:rowOff>
        </xdr:from>
        <xdr:to>
          <xdr:col>1</xdr:col>
          <xdr:colOff>186690</xdr:colOff>
          <xdr:row>20</xdr:row>
          <xdr:rowOff>310515</xdr:rowOff>
        </xdr:to>
        <xdr:sp macro="" textlink="">
          <xdr:nvSpPr>
            <xdr:cNvPr id="1042" name="Control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2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</xdr:colOff>
          <xdr:row>21</xdr:row>
          <xdr:rowOff>131445</xdr:rowOff>
        </xdr:from>
        <xdr:to>
          <xdr:col>1</xdr:col>
          <xdr:colOff>186690</xdr:colOff>
          <xdr:row>22</xdr:row>
          <xdr:rowOff>148590</xdr:rowOff>
        </xdr:to>
        <xdr:sp macro="" textlink="">
          <xdr:nvSpPr>
            <xdr:cNvPr id="1043" name="Control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2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</xdr:colOff>
          <xdr:row>22</xdr:row>
          <xdr:rowOff>140970</xdr:rowOff>
        </xdr:from>
        <xdr:to>
          <xdr:col>1</xdr:col>
          <xdr:colOff>186690</xdr:colOff>
          <xdr:row>23</xdr:row>
          <xdr:rowOff>158115</xdr:rowOff>
        </xdr:to>
        <xdr:sp macro="" textlink="">
          <xdr:nvSpPr>
            <xdr:cNvPr id="1044" name="Control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2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</xdr:colOff>
          <xdr:row>23</xdr:row>
          <xdr:rowOff>142875</xdr:rowOff>
        </xdr:from>
        <xdr:to>
          <xdr:col>1</xdr:col>
          <xdr:colOff>186690</xdr:colOff>
          <xdr:row>24</xdr:row>
          <xdr:rowOff>112395</xdr:rowOff>
        </xdr:to>
        <xdr:sp macro="" textlink="">
          <xdr:nvSpPr>
            <xdr:cNvPr id="1045" name="Control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2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</xdr:colOff>
          <xdr:row>24</xdr:row>
          <xdr:rowOff>150495</xdr:rowOff>
        </xdr:from>
        <xdr:to>
          <xdr:col>1</xdr:col>
          <xdr:colOff>186690</xdr:colOff>
          <xdr:row>25</xdr:row>
          <xdr:rowOff>167640</xdr:rowOff>
        </xdr:to>
        <xdr:sp macro="" textlink="">
          <xdr:nvSpPr>
            <xdr:cNvPr id="1046" name="Control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2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</xdr:colOff>
          <xdr:row>25</xdr:row>
          <xdr:rowOff>152400</xdr:rowOff>
        </xdr:from>
        <xdr:to>
          <xdr:col>1</xdr:col>
          <xdr:colOff>186690</xdr:colOff>
          <xdr:row>26</xdr:row>
          <xdr:rowOff>121920</xdr:rowOff>
        </xdr:to>
        <xdr:sp macro="" textlink="">
          <xdr:nvSpPr>
            <xdr:cNvPr id="1047" name="Control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2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</xdr:colOff>
          <xdr:row>26</xdr:row>
          <xdr:rowOff>182880</xdr:rowOff>
        </xdr:from>
        <xdr:to>
          <xdr:col>1</xdr:col>
          <xdr:colOff>186690</xdr:colOff>
          <xdr:row>27</xdr:row>
          <xdr:rowOff>19050</xdr:rowOff>
        </xdr:to>
        <xdr:sp macro="" textlink="">
          <xdr:nvSpPr>
            <xdr:cNvPr id="1048" name="Control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2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</xdr:colOff>
          <xdr:row>28</xdr:row>
          <xdr:rowOff>13335</xdr:rowOff>
        </xdr:from>
        <xdr:to>
          <xdr:col>1</xdr:col>
          <xdr:colOff>186690</xdr:colOff>
          <xdr:row>28</xdr:row>
          <xdr:rowOff>211455</xdr:rowOff>
        </xdr:to>
        <xdr:sp macro="" textlink="">
          <xdr:nvSpPr>
            <xdr:cNvPr id="1049" name="Control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2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</xdr:colOff>
          <xdr:row>28</xdr:row>
          <xdr:rowOff>196215</xdr:rowOff>
        </xdr:from>
        <xdr:to>
          <xdr:col>1</xdr:col>
          <xdr:colOff>186690</xdr:colOff>
          <xdr:row>29</xdr:row>
          <xdr:rowOff>156210</xdr:rowOff>
        </xdr:to>
        <xdr:sp macro="" textlink="">
          <xdr:nvSpPr>
            <xdr:cNvPr id="1050" name="Control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2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</xdr:colOff>
          <xdr:row>29</xdr:row>
          <xdr:rowOff>194310</xdr:rowOff>
        </xdr:from>
        <xdr:to>
          <xdr:col>1</xdr:col>
          <xdr:colOff>186690</xdr:colOff>
          <xdr:row>30</xdr:row>
          <xdr:rowOff>30480</xdr:rowOff>
        </xdr:to>
        <xdr:sp macro="" textlink="">
          <xdr:nvSpPr>
            <xdr:cNvPr id="1051" name="Control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2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</xdr:colOff>
          <xdr:row>31</xdr:row>
          <xdr:rowOff>24765</xdr:rowOff>
        </xdr:from>
        <xdr:to>
          <xdr:col>1</xdr:col>
          <xdr:colOff>186690</xdr:colOff>
          <xdr:row>31</xdr:row>
          <xdr:rowOff>222885</xdr:rowOff>
        </xdr:to>
        <xdr:sp macro="" textlink="">
          <xdr:nvSpPr>
            <xdr:cNvPr id="1052" name="Control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2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205740</xdr:rowOff>
        </xdr:from>
        <xdr:to>
          <xdr:col>0</xdr:col>
          <xdr:colOff>205740</xdr:colOff>
          <xdr:row>9</xdr:row>
          <xdr:rowOff>171027</xdr:rowOff>
        </xdr:to>
        <xdr:sp macro="" textlink="">
          <xdr:nvSpPr>
            <xdr:cNvPr id="3073" name="Control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3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205740</xdr:rowOff>
        </xdr:from>
        <xdr:to>
          <xdr:col>0</xdr:col>
          <xdr:colOff>205740</xdr:colOff>
          <xdr:row>9</xdr:row>
          <xdr:rowOff>171027</xdr:rowOff>
        </xdr:to>
        <xdr:sp macro="" textlink="">
          <xdr:nvSpPr>
            <xdr:cNvPr id="3074" name="Control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3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205740</xdr:rowOff>
        </xdr:from>
        <xdr:to>
          <xdr:col>0</xdr:col>
          <xdr:colOff>205740</xdr:colOff>
          <xdr:row>9</xdr:row>
          <xdr:rowOff>171027</xdr:rowOff>
        </xdr:to>
        <xdr:sp macro="" textlink="">
          <xdr:nvSpPr>
            <xdr:cNvPr id="3075" name="Control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3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205740</xdr:rowOff>
        </xdr:from>
        <xdr:to>
          <xdr:col>0</xdr:col>
          <xdr:colOff>205740</xdr:colOff>
          <xdr:row>9</xdr:row>
          <xdr:rowOff>171027</xdr:rowOff>
        </xdr:to>
        <xdr:sp macro="" textlink="">
          <xdr:nvSpPr>
            <xdr:cNvPr id="3076" name="Control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3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205740</xdr:rowOff>
        </xdr:from>
        <xdr:to>
          <xdr:col>0</xdr:col>
          <xdr:colOff>205740</xdr:colOff>
          <xdr:row>9</xdr:row>
          <xdr:rowOff>171027</xdr:rowOff>
        </xdr:to>
        <xdr:sp macro="" textlink="">
          <xdr:nvSpPr>
            <xdr:cNvPr id="3077" name="Control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3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205740</xdr:rowOff>
        </xdr:from>
        <xdr:to>
          <xdr:col>0</xdr:col>
          <xdr:colOff>205740</xdr:colOff>
          <xdr:row>9</xdr:row>
          <xdr:rowOff>171027</xdr:rowOff>
        </xdr:to>
        <xdr:sp macro="" textlink="">
          <xdr:nvSpPr>
            <xdr:cNvPr id="3078" name="Control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3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205740</xdr:rowOff>
        </xdr:from>
        <xdr:to>
          <xdr:col>0</xdr:col>
          <xdr:colOff>205740</xdr:colOff>
          <xdr:row>9</xdr:row>
          <xdr:rowOff>171027</xdr:rowOff>
        </xdr:to>
        <xdr:sp macro="" textlink="">
          <xdr:nvSpPr>
            <xdr:cNvPr id="3079" name="Control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3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205740</xdr:rowOff>
        </xdr:from>
        <xdr:to>
          <xdr:col>0</xdr:col>
          <xdr:colOff>205740</xdr:colOff>
          <xdr:row>9</xdr:row>
          <xdr:rowOff>171027</xdr:rowOff>
        </xdr:to>
        <xdr:sp macro="" textlink="">
          <xdr:nvSpPr>
            <xdr:cNvPr id="3080" name="Control 8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3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205740</xdr:rowOff>
        </xdr:from>
        <xdr:to>
          <xdr:col>0</xdr:col>
          <xdr:colOff>205740</xdr:colOff>
          <xdr:row>9</xdr:row>
          <xdr:rowOff>171027</xdr:rowOff>
        </xdr:to>
        <xdr:sp macro="" textlink="">
          <xdr:nvSpPr>
            <xdr:cNvPr id="3081" name="Control 9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00000000-0008-0000-03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205740</xdr:rowOff>
        </xdr:from>
        <xdr:to>
          <xdr:col>0</xdr:col>
          <xdr:colOff>205740</xdr:colOff>
          <xdr:row>9</xdr:row>
          <xdr:rowOff>171027</xdr:rowOff>
        </xdr:to>
        <xdr:sp macro="" textlink="">
          <xdr:nvSpPr>
            <xdr:cNvPr id="3082" name="Control 10" hidden="1">
              <a:extLst>
                <a:ext uri="{63B3BB69-23CF-44E3-9099-C40C66FF867C}">
                  <a14:compatExt spid="_x0000_s3082"/>
                </a:ext>
                <a:ext uri="{FF2B5EF4-FFF2-40B4-BE49-F238E27FC236}">
                  <a16:creationId xmlns:a16="http://schemas.microsoft.com/office/drawing/2014/main" id="{00000000-0008-0000-0300-00000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205740</xdr:rowOff>
        </xdr:from>
        <xdr:to>
          <xdr:col>0</xdr:col>
          <xdr:colOff>205740</xdr:colOff>
          <xdr:row>9</xdr:row>
          <xdr:rowOff>171027</xdr:rowOff>
        </xdr:to>
        <xdr:sp macro="" textlink="">
          <xdr:nvSpPr>
            <xdr:cNvPr id="3083" name="Control 11" hidden="1">
              <a:extLst>
                <a:ext uri="{63B3BB69-23CF-44E3-9099-C40C66FF867C}">
                  <a14:compatExt spid="_x0000_s3083"/>
                </a:ext>
                <a:ext uri="{FF2B5EF4-FFF2-40B4-BE49-F238E27FC236}">
                  <a16:creationId xmlns:a16="http://schemas.microsoft.com/office/drawing/2014/main" id="{00000000-0008-0000-0300-00000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205740</xdr:rowOff>
        </xdr:from>
        <xdr:to>
          <xdr:col>0</xdr:col>
          <xdr:colOff>205740</xdr:colOff>
          <xdr:row>9</xdr:row>
          <xdr:rowOff>171027</xdr:rowOff>
        </xdr:to>
        <xdr:sp macro="" textlink="">
          <xdr:nvSpPr>
            <xdr:cNvPr id="3084" name="Control 12" hidden="1">
              <a:extLst>
                <a:ext uri="{63B3BB69-23CF-44E3-9099-C40C66FF867C}">
                  <a14:compatExt spid="_x0000_s3084"/>
                </a:ext>
                <a:ext uri="{FF2B5EF4-FFF2-40B4-BE49-F238E27FC236}">
                  <a16:creationId xmlns:a16="http://schemas.microsoft.com/office/drawing/2014/main" id="{00000000-0008-0000-0300-00000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205740</xdr:rowOff>
        </xdr:from>
        <xdr:to>
          <xdr:col>0</xdr:col>
          <xdr:colOff>205740</xdr:colOff>
          <xdr:row>9</xdr:row>
          <xdr:rowOff>171027</xdr:rowOff>
        </xdr:to>
        <xdr:sp macro="" textlink="">
          <xdr:nvSpPr>
            <xdr:cNvPr id="3085" name="Control 13" hidden="1">
              <a:extLst>
                <a:ext uri="{63B3BB69-23CF-44E3-9099-C40C66FF867C}">
                  <a14:compatExt spid="_x0000_s3085"/>
                </a:ext>
                <a:ext uri="{FF2B5EF4-FFF2-40B4-BE49-F238E27FC236}">
                  <a16:creationId xmlns:a16="http://schemas.microsoft.com/office/drawing/2014/main" id="{00000000-0008-0000-0300-00000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205740</xdr:rowOff>
        </xdr:from>
        <xdr:to>
          <xdr:col>0</xdr:col>
          <xdr:colOff>205740</xdr:colOff>
          <xdr:row>9</xdr:row>
          <xdr:rowOff>171027</xdr:rowOff>
        </xdr:to>
        <xdr:sp macro="" textlink="">
          <xdr:nvSpPr>
            <xdr:cNvPr id="3086" name="Control 14" hidden="1">
              <a:extLst>
                <a:ext uri="{63B3BB69-23CF-44E3-9099-C40C66FF867C}">
                  <a14:compatExt spid="_x0000_s3086"/>
                </a:ext>
                <a:ext uri="{FF2B5EF4-FFF2-40B4-BE49-F238E27FC236}">
                  <a16:creationId xmlns:a16="http://schemas.microsoft.com/office/drawing/2014/main" id="{00000000-0008-0000-0300-00000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205740</xdr:rowOff>
        </xdr:from>
        <xdr:to>
          <xdr:col>0</xdr:col>
          <xdr:colOff>205740</xdr:colOff>
          <xdr:row>9</xdr:row>
          <xdr:rowOff>171027</xdr:rowOff>
        </xdr:to>
        <xdr:sp macro="" textlink="">
          <xdr:nvSpPr>
            <xdr:cNvPr id="3087" name="Control 15" hidden="1">
              <a:extLst>
                <a:ext uri="{63B3BB69-23CF-44E3-9099-C40C66FF867C}">
                  <a14:compatExt spid="_x0000_s3087"/>
                </a:ext>
                <a:ext uri="{FF2B5EF4-FFF2-40B4-BE49-F238E27FC236}">
                  <a16:creationId xmlns:a16="http://schemas.microsoft.com/office/drawing/2014/main" id="{00000000-0008-0000-0300-00000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control" Target="../activeX/activeX8.xml"/><Relationship Id="rId18" Type="http://schemas.openxmlformats.org/officeDocument/2006/relationships/control" Target="../activeX/activeX13.xml"/><Relationship Id="rId26" Type="http://schemas.openxmlformats.org/officeDocument/2006/relationships/control" Target="../activeX/activeX21.xml"/><Relationship Id="rId3" Type="http://schemas.openxmlformats.org/officeDocument/2006/relationships/vmlDrawing" Target="../drawings/vmlDrawing1.vml"/><Relationship Id="rId21" Type="http://schemas.openxmlformats.org/officeDocument/2006/relationships/control" Target="../activeX/activeX16.xml"/><Relationship Id="rId7" Type="http://schemas.openxmlformats.org/officeDocument/2006/relationships/control" Target="../activeX/activeX3.xml"/><Relationship Id="rId12" Type="http://schemas.openxmlformats.org/officeDocument/2006/relationships/control" Target="../activeX/activeX7.xml"/><Relationship Id="rId17" Type="http://schemas.openxmlformats.org/officeDocument/2006/relationships/control" Target="../activeX/activeX12.xml"/><Relationship Id="rId25" Type="http://schemas.openxmlformats.org/officeDocument/2006/relationships/control" Target="../activeX/activeX20.xml"/><Relationship Id="rId33" Type="http://schemas.openxmlformats.org/officeDocument/2006/relationships/control" Target="../activeX/activeX28.xml"/><Relationship Id="rId2" Type="http://schemas.openxmlformats.org/officeDocument/2006/relationships/drawing" Target="../drawings/drawing1.xml"/><Relationship Id="rId16" Type="http://schemas.openxmlformats.org/officeDocument/2006/relationships/control" Target="../activeX/activeX11.xml"/><Relationship Id="rId20" Type="http://schemas.openxmlformats.org/officeDocument/2006/relationships/control" Target="../activeX/activeX15.xml"/><Relationship Id="rId29" Type="http://schemas.openxmlformats.org/officeDocument/2006/relationships/control" Target="../activeX/activeX24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control" Target="../activeX/activeX6.xml"/><Relationship Id="rId24" Type="http://schemas.openxmlformats.org/officeDocument/2006/relationships/control" Target="../activeX/activeX19.xml"/><Relationship Id="rId32" Type="http://schemas.openxmlformats.org/officeDocument/2006/relationships/control" Target="../activeX/activeX27.xml"/><Relationship Id="rId5" Type="http://schemas.openxmlformats.org/officeDocument/2006/relationships/image" Target="../media/image1.emf"/><Relationship Id="rId15" Type="http://schemas.openxmlformats.org/officeDocument/2006/relationships/control" Target="../activeX/activeX10.xml"/><Relationship Id="rId23" Type="http://schemas.openxmlformats.org/officeDocument/2006/relationships/control" Target="../activeX/activeX18.xml"/><Relationship Id="rId28" Type="http://schemas.openxmlformats.org/officeDocument/2006/relationships/control" Target="../activeX/activeX23.xml"/><Relationship Id="rId10" Type="http://schemas.openxmlformats.org/officeDocument/2006/relationships/image" Target="../media/image2.emf"/><Relationship Id="rId19" Type="http://schemas.openxmlformats.org/officeDocument/2006/relationships/control" Target="../activeX/activeX14.xml"/><Relationship Id="rId31" Type="http://schemas.openxmlformats.org/officeDocument/2006/relationships/control" Target="../activeX/activeX26.xml"/><Relationship Id="rId4" Type="http://schemas.openxmlformats.org/officeDocument/2006/relationships/control" Target="../activeX/activeX1.xml"/><Relationship Id="rId9" Type="http://schemas.openxmlformats.org/officeDocument/2006/relationships/control" Target="../activeX/activeX5.xml"/><Relationship Id="rId14" Type="http://schemas.openxmlformats.org/officeDocument/2006/relationships/control" Target="../activeX/activeX9.xml"/><Relationship Id="rId22" Type="http://schemas.openxmlformats.org/officeDocument/2006/relationships/control" Target="../activeX/activeX17.xml"/><Relationship Id="rId27" Type="http://schemas.openxmlformats.org/officeDocument/2006/relationships/control" Target="../activeX/activeX22.xml"/><Relationship Id="rId30" Type="http://schemas.openxmlformats.org/officeDocument/2006/relationships/control" Target="../activeX/activeX25.xml"/><Relationship Id="rId8" Type="http://schemas.openxmlformats.org/officeDocument/2006/relationships/control" Target="../activeX/activeX4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2.xml"/><Relationship Id="rId13" Type="http://schemas.openxmlformats.org/officeDocument/2006/relationships/control" Target="../activeX/activeX37.xml"/><Relationship Id="rId18" Type="http://schemas.openxmlformats.org/officeDocument/2006/relationships/control" Target="../activeX/activeX42.xml"/><Relationship Id="rId3" Type="http://schemas.openxmlformats.org/officeDocument/2006/relationships/vmlDrawing" Target="../drawings/vmlDrawing2.vml"/><Relationship Id="rId7" Type="http://schemas.openxmlformats.org/officeDocument/2006/relationships/control" Target="../activeX/activeX31.xml"/><Relationship Id="rId12" Type="http://schemas.openxmlformats.org/officeDocument/2006/relationships/control" Target="../activeX/activeX36.xml"/><Relationship Id="rId17" Type="http://schemas.openxmlformats.org/officeDocument/2006/relationships/control" Target="../activeX/activeX41.xml"/><Relationship Id="rId2" Type="http://schemas.openxmlformats.org/officeDocument/2006/relationships/drawing" Target="../drawings/drawing2.xml"/><Relationship Id="rId16" Type="http://schemas.openxmlformats.org/officeDocument/2006/relationships/control" Target="../activeX/activeX40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30.xml"/><Relationship Id="rId11" Type="http://schemas.openxmlformats.org/officeDocument/2006/relationships/control" Target="../activeX/activeX35.xml"/><Relationship Id="rId5" Type="http://schemas.openxmlformats.org/officeDocument/2006/relationships/image" Target="../media/image3.emf"/><Relationship Id="rId15" Type="http://schemas.openxmlformats.org/officeDocument/2006/relationships/control" Target="../activeX/activeX39.xml"/><Relationship Id="rId10" Type="http://schemas.openxmlformats.org/officeDocument/2006/relationships/control" Target="../activeX/activeX34.xml"/><Relationship Id="rId19" Type="http://schemas.openxmlformats.org/officeDocument/2006/relationships/control" Target="../activeX/activeX43.xml"/><Relationship Id="rId4" Type="http://schemas.openxmlformats.org/officeDocument/2006/relationships/control" Target="../activeX/activeX29.xml"/><Relationship Id="rId9" Type="http://schemas.openxmlformats.org/officeDocument/2006/relationships/control" Target="../activeX/activeX33.xml"/><Relationship Id="rId14" Type="http://schemas.openxmlformats.org/officeDocument/2006/relationships/control" Target="../activeX/activeX38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8FCDC6-7C73-4955-84C7-77DA6C149EB1}">
  <dimension ref="A2:S45"/>
  <sheetViews>
    <sheetView topLeftCell="H11" zoomScale="85" zoomScaleNormal="85" workbookViewId="0">
      <selection activeCell="S45" sqref="K23:S45"/>
    </sheetView>
  </sheetViews>
  <sheetFormatPr baseColWidth="10" defaultRowHeight="14.4" x14ac:dyDescent="0.3"/>
  <cols>
    <col min="1" max="1" width="3.6640625" bestFit="1" customWidth="1"/>
    <col min="2" max="2" width="29.44140625" customWidth="1"/>
    <col min="3" max="3" width="17.109375" customWidth="1"/>
    <col min="4" max="7" width="3.6640625" hidden="1" customWidth="1"/>
    <col min="8" max="8" width="12.6640625" customWidth="1"/>
    <col min="10" max="10" width="8" customWidth="1"/>
    <col min="11" max="11" width="3.44140625" customWidth="1"/>
    <col min="12" max="12" width="27" customWidth="1"/>
    <col min="13" max="13" width="18.109375" customWidth="1"/>
    <col min="14" max="14" width="17.109375" customWidth="1"/>
    <col min="15" max="15" width="16.5546875" customWidth="1"/>
    <col min="16" max="16" width="16.109375" customWidth="1"/>
    <col min="18" max="18" width="15.88671875" customWidth="1"/>
    <col min="19" max="19" width="17.44140625" customWidth="1"/>
    <col min="20" max="20" width="14.44140625" bestFit="1" customWidth="1"/>
  </cols>
  <sheetData>
    <row r="2" spans="1:19" ht="18" x14ac:dyDescent="0.35">
      <c r="A2" s="3"/>
      <c r="B2" s="30" t="s">
        <v>61</v>
      </c>
      <c r="C2" s="30"/>
      <c r="D2" s="30"/>
      <c r="E2" s="30"/>
      <c r="F2" s="30"/>
      <c r="G2" s="30"/>
      <c r="J2" s="22"/>
      <c r="K2" s="3"/>
      <c r="L2" s="30" t="s">
        <v>62</v>
      </c>
      <c r="M2" s="30"/>
      <c r="N2" s="30"/>
      <c r="O2" s="30"/>
      <c r="P2" s="30"/>
      <c r="Q2" s="30"/>
    </row>
    <row r="3" spans="1:19" ht="32.25" customHeight="1" x14ac:dyDescent="0.3">
      <c r="A3" s="10" t="s">
        <v>11</v>
      </c>
      <c r="B3" s="9" t="s">
        <v>4</v>
      </c>
      <c r="C3" s="23" t="s">
        <v>5</v>
      </c>
      <c r="D3" s="23" t="s">
        <v>6</v>
      </c>
      <c r="E3" s="23" t="s">
        <v>7</v>
      </c>
      <c r="F3" s="23" t="s">
        <v>8</v>
      </c>
      <c r="G3" s="23" t="s">
        <v>9</v>
      </c>
      <c r="H3" s="23" t="s">
        <v>52</v>
      </c>
      <c r="I3" s="23" t="s">
        <v>53</v>
      </c>
      <c r="K3" s="10" t="s">
        <v>11</v>
      </c>
      <c r="L3" s="9" t="s">
        <v>4</v>
      </c>
      <c r="M3" s="23" t="s">
        <v>5</v>
      </c>
      <c r="N3" s="23" t="s">
        <v>54</v>
      </c>
      <c r="O3" s="23" t="s">
        <v>55</v>
      </c>
      <c r="P3" s="23" t="s">
        <v>57</v>
      </c>
      <c r="Q3" s="23" t="s">
        <v>56</v>
      </c>
      <c r="R3" s="23" t="s">
        <v>58</v>
      </c>
      <c r="S3" s="23" t="s">
        <v>59</v>
      </c>
    </row>
    <row r="4" spans="1:19" x14ac:dyDescent="0.3">
      <c r="A4" s="2">
        <v>1</v>
      </c>
      <c r="B4" s="6" t="s">
        <v>0</v>
      </c>
      <c r="C4" s="12">
        <f>17445.6+0.07+2326.08+25.75-65.83+D4+E4+F4+G4-H4-I4+15119.52</f>
        <v>30939.119999999999</v>
      </c>
      <c r="D4" s="13"/>
      <c r="E4" s="12"/>
      <c r="F4" s="12"/>
      <c r="G4" s="12"/>
      <c r="H4" s="12">
        <v>3418.33</v>
      </c>
      <c r="I4" s="12">
        <v>493.74</v>
      </c>
      <c r="K4" s="2">
        <v>1</v>
      </c>
      <c r="L4" s="6" t="s">
        <v>0</v>
      </c>
      <c r="M4" s="12"/>
      <c r="N4" s="13"/>
      <c r="O4" s="12"/>
      <c r="P4" s="12"/>
      <c r="Q4" s="12"/>
      <c r="R4" s="12"/>
      <c r="S4" s="12"/>
    </row>
    <row r="5" spans="1:19" x14ac:dyDescent="0.3">
      <c r="A5" s="2">
        <v>2</v>
      </c>
      <c r="B5" s="6" t="s">
        <v>1</v>
      </c>
      <c r="C5" s="12"/>
      <c r="D5" s="13"/>
      <c r="E5" s="12"/>
      <c r="F5" s="12"/>
      <c r="G5" s="12"/>
      <c r="H5" s="12"/>
      <c r="I5" s="12"/>
      <c r="K5" s="2">
        <v>2</v>
      </c>
      <c r="L5" s="6" t="s">
        <v>1</v>
      </c>
      <c r="M5" s="12"/>
      <c r="N5" s="13"/>
      <c r="O5" s="12"/>
      <c r="P5" s="12"/>
      <c r="Q5" s="12"/>
      <c r="R5" s="12"/>
      <c r="S5" s="12"/>
    </row>
    <row r="6" spans="1:19" x14ac:dyDescent="0.3">
      <c r="A6" s="2">
        <v>3</v>
      </c>
      <c r="B6" s="6" t="s">
        <v>2</v>
      </c>
      <c r="C6" s="12"/>
      <c r="D6" s="13"/>
      <c r="E6" s="12"/>
      <c r="F6" s="12"/>
      <c r="G6" s="12"/>
      <c r="H6" s="12"/>
      <c r="I6" s="12"/>
      <c r="K6" s="2">
        <v>3</v>
      </c>
      <c r="L6" s="6" t="s">
        <v>2</v>
      </c>
      <c r="M6" s="12"/>
      <c r="N6" s="13"/>
      <c r="O6" s="12"/>
      <c r="P6" s="12"/>
      <c r="Q6" s="12"/>
      <c r="R6" s="12"/>
      <c r="S6" s="12"/>
    </row>
    <row r="7" spans="1:19" ht="18" x14ac:dyDescent="0.35">
      <c r="A7" s="2">
        <v>4</v>
      </c>
      <c r="B7" s="6" t="s">
        <v>3</v>
      </c>
      <c r="C7" s="12"/>
      <c r="D7" s="13"/>
      <c r="E7" s="12"/>
      <c r="F7" s="12"/>
      <c r="G7" s="12"/>
      <c r="H7" s="12"/>
      <c r="I7" s="12"/>
      <c r="K7" s="1"/>
      <c r="L7" s="7" t="s">
        <v>10</v>
      </c>
      <c r="M7" s="8">
        <f>SUM(M4:M6)</f>
        <v>0</v>
      </c>
      <c r="N7" s="8">
        <f t="shared" ref="N7:R7" si="0">SUM(N4:N6)</f>
        <v>0</v>
      </c>
      <c r="O7" s="8">
        <f t="shared" si="0"/>
        <v>0</v>
      </c>
      <c r="P7" s="8">
        <f t="shared" si="0"/>
        <v>0</v>
      </c>
      <c r="Q7" s="8">
        <f t="shared" si="0"/>
        <v>0</v>
      </c>
      <c r="R7" s="8">
        <f t="shared" si="0"/>
        <v>0</v>
      </c>
      <c r="S7" s="8">
        <f>SUM(S4:S6)</f>
        <v>0</v>
      </c>
    </row>
    <row r="8" spans="1:19" ht="18" x14ac:dyDescent="0.35">
      <c r="A8" s="1"/>
      <c r="B8" s="7" t="s">
        <v>10</v>
      </c>
      <c r="C8" s="8">
        <f t="shared" ref="C8:H8" si="1">SUM(C4:C7)</f>
        <v>30939.119999999999</v>
      </c>
      <c r="D8" s="8">
        <f t="shared" si="1"/>
        <v>0</v>
      </c>
      <c r="E8" s="8">
        <f t="shared" si="1"/>
        <v>0</v>
      </c>
      <c r="F8" s="8">
        <f t="shared" si="1"/>
        <v>0</v>
      </c>
      <c r="G8" s="8">
        <f t="shared" si="1"/>
        <v>0</v>
      </c>
      <c r="H8" s="8">
        <f t="shared" si="1"/>
        <v>3418.33</v>
      </c>
      <c r="I8" s="8">
        <f>SUM(I4:I7)</f>
        <v>493.74</v>
      </c>
    </row>
    <row r="9" spans="1:19" ht="18" x14ac:dyDescent="0.35">
      <c r="K9" s="3"/>
      <c r="L9" s="30" t="s">
        <v>63</v>
      </c>
      <c r="M9" s="30"/>
      <c r="N9" s="30"/>
      <c r="O9" s="30"/>
      <c r="P9" s="30"/>
      <c r="Q9" s="30"/>
    </row>
    <row r="10" spans="1:19" ht="28.8" x14ac:dyDescent="0.3">
      <c r="C10" s="11"/>
      <c r="K10" s="10" t="s">
        <v>11</v>
      </c>
      <c r="L10" s="9" t="s">
        <v>4</v>
      </c>
      <c r="M10" s="23" t="s">
        <v>5</v>
      </c>
      <c r="N10" s="23" t="s">
        <v>54</v>
      </c>
      <c r="O10" s="23" t="s">
        <v>55</v>
      </c>
      <c r="P10" s="23" t="s">
        <v>57</v>
      </c>
      <c r="Q10" s="23" t="s">
        <v>56</v>
      </c>
      <c r="R10" s="23" t="s">
        <v>58</v>
      </c>
      <c r="S10" s="23" t="s">
        <v>59</v>
      </c>
    </row>
    <row r="11" spans="1:19" x14ac:dyDescent="0.3">
      <c r="K11" s="2">
        <v>1</v>
      </c>
      <c r="L11" s="6" t="s">
        <v>0</v>
      </c>
      <c r="M11" s="12"/>
      <c r="N11" s="13"/>
      <c r="O11" s="12"/>
      <c r="P11" s="12"/>
      <c r="Q11" s="12"/>
      <c r="R11" s="12"/>
      <c r="S11" s="12"/>
    </row>
    <row r="12" spans="1:19" x14ac:dyDescent="0.3">
      <c r="K12" s="2">
        <v>2</v>
      </c>
      <c r="L12" s="6" t="s">
        <v>1</v>
      </c>
      <c r="M12" s="12"/>
      <c r="N12" s="13"/>
      <c r="O12" s="12"/>
      <c r="P12" s="12"/>
      <c r="Q12" s="12"/>
      <c r="R12" s="12"/>
      <c r="S12" s="12"/>
    </row>
    <row r="13" spans="1:19" x14ac:dyDescent="0.3">
      <c r="C13" s="4">
        <f>13533.6+2286</f>
        <v>15819.6</v>
      </c>
      <c r="K13" s="2">
        <v>3</v>
      </c>
      <c r="L13" s="6" t="s">
        <v>2</v>
      </c>
      <c r="M13" s="12"/>
      <c r="N13" s="13"/>
      <c r="O13" s="12"/>
      <c r="P13" s="12"/>
      <c r="Q13" s="12"/>
      <c r="R13" s="12"/>
      <c r="S13" s="12"/>
    </row>
    <row r="14" spans="1:19" ht="18" x14ac:dyDescent="0.35">
      <c r="C14" s="4">
        <f>17445.6+15119.52+2326.08+25.75+0.07</f>
        <v>34917.019999999997</v>
      </c>
      <c r="K14" s="1"/>
      <c r="L14" s="7" t="s">
        <v>10</v>
      </c>
      <c r="M14" s="8">
        <f>SUM(M11:M13)</f>
        <v>0</v>
      </c>
      <c r="N14" s="8">
        <f t="shared" ref="N14" si="2">SUM(N11:N13)</f>
        <v>0</v>
      </c>
      <c r="O14" s="8">
        <f t="shared" ref="O14" si="3">SUM(O11:O13)</f>
        <v>0</v>
      </c>
      <c r="P14" s="8">
        <f t="shared" ref="P14" si="4">SUM(P11:P13)</f>
        <v>0</v>
      </c>
      <c r="Q14" s="8">
        <f t="shared" ref="Q14" si="5">SUM(Q11:Q13)</f>
        <v>0</v>
      </c>
      <c r="R14" s="8">
        <f t="shared" ref="R14" si="6">SUM(R11:R13)</f>
        <v>0</v>
      </c>
      <c r="S14" s="8">
        <f>SUM(S11:S13)</f>
        <v>0</v>
      </c>
    </row>
    <row r="15" spans="1:19" x14ac:dyDescent="0.3">
      <c r="C15" s="22">
        <v>34917.019999999997</v>
      </c>
    </row>
    <row r="16" spans="1:19" ht="18" x14ac:dyDescent="0.35">
      <c r="K16" s="3"/>
      <c r="L16" s="30" t="s">
        <v>64</v>
      </c>
      <c r="M16" s="30"/>
      <c r="N16" s="30"/>
      <c r="O16" s="30"/>
      <c r="P16" s="30"/>
      <c r="Q16" s="30"/>
    </row>
    <row r="17" spans="3:19" ht="28.8" x14ac:dyDescent="0.3">
      <c r="C17" s="24">
        <f>+C15-C14</f>
        <v>0</v>
      </c>
      <c r="K17" s="10" t="s">
        <v>11</v>
      </c>
      <c r="L17" s="9" t="s">
        <v>4</v>
      </c>
      <c r="M17" s="23" t="s">
        <v>5</v>
      </c>
      <c r="N17" s="23" t="s">
        <v>54</v>
      </c>
      <c r="O17" s="23" t="s">
        <v>55</v>
      </c>
      <c r="P17" s="23" t="s">
        <v>57</v>
      </c>
      <c r="Q17" s="23" t="s">
        <v>56</v>
      </c>
      <c r="R17" s="23" t="s">
        <v>58</v>
      </c>
      <c r="S17" s="23" t="s">
        <v>59</v>
      </c>
    </row>
    <row r="18" spans="3:19" x14ac:dyDescent="0.3">
      <c r="K18" s="2">
        <v>1</v>
      </c>
      <c r="L18" s="6" t="s">
        <v>0</v>
      </c>
      <c r="M18" s="12"/>
      <c r="N18" s="13"/>
      <c r="O18" s="12"/>
      <c r="P18" s="12"/>
      <c r="Q18" s="12"/>
      <c r="R18" s="12"/>
      <c r="S18" s="12"/>
    </row>
    <row r="19" spans="3:19" x14ac:dyDescent="0.3">
      <c r="K19" s="2">
        <v>2</v>
      </c>
      <c r="L19" s="6" t="s">
        <v>1</v>
      </c>
      <c r="M19" s="12"/>
      <c r="N19" s="13"/>
      <c r="O19" s="12"/>
      <c r="P19" s="12"/>
      <c r="Q19" s="12"/>
      <c r="R19" s="12"/>
      <c r="S19" s="12"/>
    </row>
    <row r="20" spans="3:19" x14ac:dyDescent="0.3">
      <c r="K20" s="2">
        <v>3</v>
      </c>
      <c r="L20" s="6" t="s">
        <v>2</v>
      </c>
      <c r="M20" s="12"/>
      <c r="N20" s="13"/>
      <c r="O20" s="12"/>
      <c r="P20" s="12"/>
      <c r="Q20" s="12"/>
      <c r="R20" s="12"/>
      <c r="S20" s="12"/>
    </row>
    <row r="21" spans="3:19" ht="18" x14ac:dyDescent="0.35">
      <c r="K21" s="1"/>
      <c r="L21" s="7" t="s">
        <v>10</v>
      </c>
      <c r="M21" s="8">
        <f>SUM(M18:M20)</f>
        <v>0</v>
      </c>
      <c r="N21" s="8">
        <f t="shared" ref="N21" si="7">SUM(N18:N20)</f>
        <v>0</v>
      </c>
      <c r="O21" s="8">
        <f t="shared" ref="O21" si="8">SUM(O18:O20)</f>
        <v>0</v>
      </c>
      <c r="P21" s="8">
        <f t="shared" ref="P21" si="9">SUM(P18:P20)</f>
        <v>0</v>
      </c>
      <c r="Q21" s="8">
        <f t="shared" ref="Q21" si="10">SUM(Q18:Q20)</f>
        <v>0</v>
      </c>
      <c r="R21" s="8">
        <f t="shared" ref="R21" si="11">SUM(R18:R20)</f>
        <v>0</v>
      </c>
      <c r="S21" s="8">
        <f>SUM(S18:S20)</f>
        <v>0</v>
      </c>
    </row>
    <row r="23" spans="3:19" ht="18" x14ac:dyDescent="0.35">
      <c r="K23" s="3"/>
      <c r="L23" s="30" t="s">
        <v>60</v>
      </c>
      <c r="M23" s="30"/>
      <c r="N23" s="30"/>
      <c r="O23" s="30"/>
      <c r="P23" s="30"/>
      <c r="Q23" s="30"/>
    </row>
    <row r="24" spans="3:19" ht="28.8" x14ac:dyDescent="0.3">
      <c r="K24" s="10" t="s">
        <v>11</v>
      </c>
      <c r="L24" s="9" t="s">
        <v>4</v>
      </c>
      <c r="M24" s="23" t="s">
        <v>5</v>
      </c>
      <c r="N24" s="23" t="s">
        <v>54</v>
      </c>
      <c r="O24" s="23" t="s">
        <v>55</v>
      </c>
      <c r="P24" s="23" t="s">
        <v>57</v>
      </c>
      <c r="Q24" s="23" t="s">
        <v>56</v>
      </c>
      <c r="R24" s="23" t="s">
        <v>58</v>
      </c>
      <c r="S24" s="23" t="s">
        <v>59</v>
      </c>
    </row>
    <row r="25" spans="3:19" x14ac:dyDescent="0.3">
      <c r="K25" s="2">
        <v>1</v>
      </c>
      <c r="L25" s="6" t="s">
        <v>0</v>
      </c>
      <c r="M25" s="12">
        <f>17445.6+0.18+17445.6</f>
        <v>34891.379999999997</v>
      </c>
      <c r="N25" s="13">
        <f>+M25</f>
        <v>34891.379999999997</v>
      </c>
      <c r="O25" s="12">
        <f>3418.33+3418.33</f>
        <v>6836.66</v>
      </c>
      <c r="P25" s="12">
        <f>493.74+526.65</f>
        <v>1020.39</v>
      </c>
      <c r="Q25" s="12">
        <v>0.13</v>
      </c>
      <c r="R25" s="12">
        <f>+O25+P25+Q25</f>
        <v>7857.18</v>
      </c>
      <c r="S25" s="12">
        <f>+N25-R25</f>
        <v>27034.199999999997</v>
      </c>
    </row>
    <row r="26" spans="3:19" x14ac:dyDescent="0.3">
      <c r="K26" s="2">
        <v>2</v>
      </c>
      <c r="L26" s="6" t="s">
        <v>1</v>
      </c>
      <c r="M26" s="12">
        <f>11344.35+11344.35</f>
        <v>22688.7</v>
      </c>
      <c r="N26" s="13">
        <f t="shared" ref="N26:N28" si="12">+M26</f>
        <v>22688.7</v>
      </c>
      <c r="O26" s="12">
        <f>1899.56+1899.56</f>
        <v>3799.12</v>
      </c>
      <c r="P26" s="12">
        <f>337.39+316.3</f>
        <v>653.69000000000005</v>
      </c>
      <c r="Q26" s="12">
        <v>0.09</v>
      </c>
      <c r="R26" s="12">
        <f t="shared" ref="R26:R27" si="13">+O26+P26+Q26</f>
        <v>4452.8999999999996</v>
      </c>
      <c r="S26" s="12">
        <f t="shared" ref="S26:S27" si="14">+N26-R26</f>
        <v>18235.800000000003</v>
      </c>
    </row>
    <row r="27" spans="3:19" x14ac:dyDescent="0.3">
      <c r="K27" s="2">
        <v>3</v>
      </c>
      <c r="L27" s="6" t="s">
        <v>2</v>
      </c>
      <c r="M27" s="12">
        <f>11344.35+11344.35</f>
        <v>22688.7</v>
      </c>
      <c r="N27" s="13">
        <f t="shared" si="12"/>
        <v>22688.7</v>
      </c>
      <c r="O27" s="12">
        <f>1899.56+1899.56</f>
        <v>3799.12</v>
      </c>
      <c r="P27" s="12">
        <f>337.39+316.3</f>
        <v>653.69000000000005</v>
      </c>
      <c r="Q27" s="12">
        <v>0.09</v>
      </c>
      <c r="R27" s="12">
        <f t="shared" si="13"/>
        <v>4452.8999999999996</v>
      </c>
      <c r="S27" s="12">
        <f t="shared" si="14"/>
        <v>18235.800000000003</v>
      </c>
    </row>
    <row r="28" spans="3:19" x14ac:dyDescent="0.3">
      <c r="K28" s="2">
        <v>4</v>
      </c>
      <c r="L28" s="6" t="s">
        <v>3</v>
      </c>
      <c r="M28" s="12">
        <f>8053.8*2</f>
        <v>16107.6</v>
      </c>
      <c r="N28" s="13">
        <f t="shared" si="12"/>
        <v>16107.6</v>
      </c>
      <c r="O28" s="12">
        <f>1173.03+1173.03</f>
        <v>2346.06</v>
      </c>
      <c r="P28" s="12">
        <f>220.62+235.34</f>
        <v>455.96000000000004</v>
      </c>
      <c r="Q28" s="12">
        <f>0.03+0.15</f>
        <v>0.18</v>
      </c>
      <c r="R28" s="12">
        <f t="shared" ref="R28" si="15">+O28+P28+Q28</f>
        <v>2802.2</v>
      </c>
      <c r="S28" s="12">
        <f t="shared" ref="S28" si="16">+N28-R28</f>
        <v>13305.400000000001</v>
      </c>
    </row>
    <row r="29" spans="3:19" ht="18" x14ac:dyDescent="0.35">
      <c r="K29" s="1"/>
      <c r="L29" s="7" t="s">
        <v>10</v>
      </c>
      <c r="M29" s="8">
        <f>SUM(M25:M28)</f>
        <v>96376.38</v>
      </c>
      <c r="N29" s="8">
        <f t="shared" ref="N29:Q29" si="17">SUM(N25:N28)</f>
        <v>96376.38</v>
      </c>
      <c r="O29" s="8">
        <f t="shared" si="17"/>
        <v>16780.96</v>
      </c>
      <c r="P29" s="8">
        <f t="shared" si="17"/>
        <v>2783.73</v>
      </c>
      <c r="Q29" s="8">
        <f t="shared" si="17"/>
        <v>0.49</v>
      </c>
      <c r="R29" s="8">
        <f>SUM(R25:R28)</f>
        <v>19565.18</v>
      </c>
      <c r="S29" s="8">
        <f>SUM(S25:S28)</f>
        <v>76811.200000000012</v>
      </c>
    </row>
    <row r="31" spans="3:19" ht="18" x14ac:dyDescent="0.35">
      <c r="K31" s="3"/>
      <c r="L31" s="30" t="s">
        <v>65</v>
      </c>
      <c r="M31" s="30"/>
      <c r="N31" s="30"/>
      <c r="O31" s="30"/>
      <c r="P31" s="30"/>
      <c r="Q31" s="30"/>
    </row>
    <row r="32" spans="3:19" ht="28.8" x14ac:dyDescent="0.3">
      <c r="K32" s="10" t="s">
        <v>11</v>
      </c>
      <c r="L32" s="9" t="s">
        <v>4</v>
      </c>
      <c r="M32" s="23" t="s">
        <v>5</v>
      </c>
      <c r="N32" s="23" t="s">
        <v>54</v>
      </c>
      <c r="O32" s="23" t="s">
        <v>55</v>
      </c>
      <c r="P32" s="23" t="s">
        <v>57</v>
      </c>
      <c r="Q32" s="23" t="s">
        <v>56</v>
      </c>
      <c r="R32" s="23" t="s">
        <v>58</v>
      </c>
      <c r="S32" s="23" t="s">
        <v>59</v>
      </c>
    </row>
    <row r="33" spans="11:19" x14ac:dyDescent="0.3">
      <c r="K33" s="2">
        <v>1</v>
      </c>
      <c r="L33" s="6" t="s">
        <v>0</v>
      </c>
      <c r="M33" s="12">
        <f>17445.6+0.07+17445.6</f>
        <v>34891.269999999997</v>
      </c>
      <c r="N33" s="13">
        <f>+M33</f>
        <v>34891.269999999997</v>
      </c>
      <c r="O33" s="12">
        <f>3418.33+3418.33</f>
        <v>6836.66</v>
      </c>
      <c r="P33" s="12">
        <f>493.74+493.74</f>
        <v>987.48</v>
      </c>
      <c r="Q33" s="12">
        <v>0.13</v>
      </c>
      <c r="R33" s="12">
        <f>+O33+P33+Q33</f>
        <v>7824.2699999999995</v>
      </c>
      <c r="S33" s="12">
        <f>+N33-R33</f>
        <v>27066.999999999996</v>
      </c>
    </row>
    <row r="34" spans="11:19" x14ac:dyDescent="0.3">
      <c r="K34" s="2">
        <v>2</v>
      </c>
      <c r="L34" s="6" t="s">
        <v>1</v>
      </c>
      <c r="M34" s="12">
        <f>11344.35*2+0.11</f>
        <v>22688.81</v>
      </c>
      <c r="N34" s="13">
        <f t="shared" ref="N34:N36" si="18">+M34</f>
        <v>22688.81</v>
      </c>
      <c r="O34" s="12">
        <f>1899.56+1899.56</f>
        <v>3799.12</v>
      </c>
      <c r="P34" s="12">
        <f>316.3+316.3</f>
        <v>632.6</v>
      </c>
      <c r="Q34" s="12">
        <v>0.09</v>
      </c>
      <c r="R34" s="12">
        <f t="shared" ref="R34:R36" si="19">+O34+P34+Q34</f>
        <v>4431.8100000000004</v>
      </c>
      <c r="S34" s="12">
        <f t="shared" ref="S34:S36" si="20">+N34-R34</f>
        <v>18257</v>
      </c>
    </row>
    <row r="35" spans="11:19" x14ac:dyDescent="0.3">
      <c r="K35" s="2">
        <v>3</v>
      </c>
      <c r="L35" s="6" t="s">
        <v>2</v>
      </c>
      <c r="M35" s="12">
        <f>11344.35+11344.35+0.11</f>
        <v>22688.81</v>
      </c>
      <c r="N35" s="13">
        <f t="shared" si="18"/>
        <v>22688.81</v>
      </c>
      <c r="O35" s="12">
        <f>1899.56+1899.56</f>
        <v>3799.12</v>
      </c>
      <c r="P35" s="12">
        <f>316.3+316.3</f>
        <v>632.6</v>
      </c>
      <c r="Q35" s="12">
        <v>0.09</v>
      </c>
      <c r="R35" s="12">
        <f t="shared" ref="R35" si="21">+O35+P35+Q35</f>
        <v>4431.8100000000004</v>
      </c>
      <c r="S35" s="12">
        <f t="shared" ref="S35" si="22">+N35-R35</f>
        <v>18257</v>
      </c>
    </row>
    <row r="36" spans="11:19" x14ac:dyDescent="0.3">
      <c r="K36" s="2">
        <v>4</v>
      </c>
      <c r="L36" s="6" t="s">
        <v>3</v>
      </c>
      <c r="M36" s="12">
        <f>8053.8+0.05+8053.8+0.05</f>
        <v>16107.7</v>
      </c>
      <c r="N36" s="13">
        <f t="shared" si="18"/>
        <v>16107.7</v>
      </c>
      <c r="O36" s="12">
        <f>1173.03+1173.03</f>
        <v>2346.06</v>
      </c>
      <c r="P36" s="12">
        <f>220.62+220.62</f>
        <v>441.24</v>
      </c>
      <c r="Q36" s="12">
        <v>0</v>
      </c>
      <c r="R36" s="12">
        <f t="shared" si="19"/>
        <v>2787.3</v>
      </c>
      <c r="S36" s="12">
        <f t="shared" si="20"/>
        <v>13320.400000000001</v>
      </c>
    </row>
    <row r="37" spans="11:19" ht="18" x14ac:dyDescent="0.35">
      <c r="K37" s="1"/>
      <c r="L37" s="7" t="s">
        <v>10</v>
      </c>
      <c r="M37" s="15">
        <f>SUM(M33:M36)</f>
        <v>96376.59</v>
      </c>
      <c r="N37" s="15">
        <f t="shared" ref="N37:R37" si="23">SUM(N33:N36)</f>
        <v>96376.59</v>
      </c>
      <c r="O37" s="15">
        <f t="shared" si="23"/>
        <v>16780.96</v>
      </c>
      <c r="P37" s="15">
        <f t="shared" si="23"/>
        <v>2693.92</v>
      </c>
      <c r="Q37" s="15">
        <f t="shared" si="23"/>
        <v>0.31</v>
      </c>
      <c r="R37" s="15">
        <f t="shared" si="23"/>
        <v>19475.189999999999</v>
      </c>
      <c r="S37" s="15">
        <f>SUM(S33:S36)</f>
        <v>76901.399999999994</v>
      </c>
    </row>
    <row r="39" spans="11:19" ht="18" x14ac:dyDescent="0.35">
      <c r="K39" s="3"/>
      <c r="L39" s="30" t="s">
        <v>66</v>
      </c>
      <c r="M39" s="30"/>
      <c r="N39" s="30"/>
      <c r="O39" s="30"/>
      <c r="P39" s="30"/>
      <c r="Q39" s="30"/>
    </row>
    <row r="40" spans="11:19" ht="28.8" x14ac:dyDescent="0.3">
      <c r="K40" s="10" t="s">
        <v>11</v>
      </c>
      <c r="L40" s="9" t="s">
        <v>4</v>
      </c>
      <c r="M40" s="23" t="s">
        <v>5</v>
      </c>
      <c r="N40" s="23" t="s">
        <v>54</v>
      </c>
      <c r="O40" s="23" t="s">
        <v>55</v>
      </c>
      <c r="P40" s="23" t="s">
        <v>57</v>
      </c>
      <c r="Q40" s="23" t="s">
        <v>56</v>
      </c>
      <c r="R40" s="23" t="s">
        <v>58</v>
      </c>
      <c r="S40" s="23" t="s">
        <v>59</v>
      </c>
    </row>
    <row r="41" spans="11:19" x14ac:dyDescent="0.3">
      <c r="K41" s="2">
        <v>1</v>
      </c>
      <c r="L41" s="6" t="s">
        <v>0</v>
      </c>
      <c r="M41" s="12">
        <f>5209.78+17445.6+0.07+18608.64+0.06</f>
        <v>41264.149999999994</v>
      </c>
      <c r="N41" s="13">
        <f t="shared" ref="N41:N44" si="24">+M41</f>
        <v>41264.149999999994</v>
      </c>
      <c r="O41" s="12">
        <f>3767.25+883.52+3418.33</f>
        <v>8069.1</v>
      </c>
      <c r="P41" s="12">
        <f>493.74+526.65</f>
        <v>1020.39</v>
      </c>
      <c r="Q41" s="12">
        <v>0.06</v>
      </c>
      <c r="R41" s="12">
        <f t="shared" ref="R41:R44" si="25">+O41+P41+Q41</f>
        <v>9089.5499999999993</v>
      </c>
      <c r="S41" s="12">
        <f t="shared" ref="S41:S44" si="26">+N41-R41</f>
        <v>32174.599999999995</v>
      </c>
    </row>
    <row r="42" spans="11:19" x14ac:dyDescent="0.3">
      <c r="K42" s="2">
        <v>2</v>
      </c>
      <c r="L42" s="6" t="s">
        <v>1</v>
      </c>
      <c r="M42" s="12">
        <f>12100.64+3387.76+11344.35</f>
        <v>26832.75</v>
      </c>
      <c r="N42" s="13">
        <f>+M42</f>
        <v>26832.75</v>
      </c>
      <c r="O42" s="12">
        <f>1899.56+264.14+2077.44</f>
        <v>4241.1399999999994</v>
      </c>
      <c r="P42" s="12">
        <f>337.39+316.3</f>
        <v>653.69000000000005</v>
      </c>
      <c r="Q42" s="12">
        <f>0.01+0.02</f>
        <v>0.03</v>
      </c>
      <c r="R42" s="12">
        <f>+O42+P42+Q42</f>
        <v>4894.8599999999997</v>
      </c>
      <c r="S42" s="12">
        <f>+N42-R42</f>
        <v>21937.89</v>
      </c>
    </row>
    <row r="43" spans="11:19" x14ac:dyDescent="0.3">
      <c r="K43" s="2">
        <v>3</v>
      </c>
      <c r="L43" s="6" t="s">
        <v>2</v>
      </c>
      <c r="M43" s="12">
        <f>12100.64+3387.76+11344.35+0.11</f>
        <v>26832.86</v>
      </c>
      <c r="N43" s="13">
        <f t="shared" si="24"/>
        <v>26832.86</v>
      </c>
      <c r="O43" s="12">
        <f>1899.56+264.14+2077.44</f>
        <v>4241.1399999999994</v>
      </c>
      <c r="P43" s="12">
        <f>337.39+316.3</f>
        <v>653.69000000000005</v>
      </c>
      <c r="Q43" s="12">
        <f>0.02+0.01</f>
        <v>0.03</v>
      </c>
      <c r="R43" s="12">
        <f t="shared" si="25"/>
        <v>4894.8599999999997</v>
      </c>
      <c r="S43" s="12">
        <f t="shared" si="26"/>
        <v>21938</v>
      </c>
    </row>
    <row r="44" spans="11:19" x14ac:dyDescent="0.3">
      <c r="K44" s="2">
        <v>4</v>
      </c>
      <c r="L44" s="6" t="s">
        <v>3</v>
      </c>
      <c r="M44" s="12">
        <f>8590.72+0.13+2405.11+8053.8+0.05</f>
        <v>19049.809999999998</v>
      </c>
      <c r="N44" s="13">
        <f t="shared" si="24"/>
        <v>19049.809999999998</v>
      </c>
      <c r="O44" s="12">
        <f>1287.71+29.99+1173.03</f>
        <v>2490.73</v>
      </c>
      <c r="P44" s="12">
        <f>220.62+235.34</f>
        <v>455.96000000000004</v>
      </c>
      <c r="Q44" s="12">
        <v>0.12</v>
      </c>
      <c r="R44" s="12">
        <f t="shared" si="25"/>
        <v>2946.81</v>
      </c>
      <c r="S44" s="12">
        <f t="shared" si="26"/>
        <v>16102.999999999998</v>
      </c>
    </row>
    <row r="45" spans="11:19" ht="18" x14ac:dyDescent="0.35">
      <c r="K45" s="1"/>
      <c r="L45" s="7" t="s">
        <v>10</v>
      </c>
      <c r="M45" s="8">
        <f>SUM(M41:M44)</f>
        <v>113979.56999999999</v>
      </c>
      <c r="N45" s="8">
        <f t="shared" ref="N45:S45" si="27">SUM(N41:N44)</f>
        <v>113979.56999999999</v>
      </c>
      <c r="O45" s="8">
        <f t="shared" si="27"/>
        <v>19042.109999999997</v>
      </c>
      <c r="P45" s="8">
        <f t="shared" si="27"/>
        <v>2783.73</v>
      </c>
      <c r="Q45" s="8">
        <f t="shared" si="27"/>
        <v>0.24</v>
      </c>
      <c r="R45" s="8">
        <f t="shared" si="27"/>
        <v>21826.080000000002</v>
      </c>
      <c r="S45" s="8">
        <f t="shared" si="27"/>
        <v>92153.489999999991</v>
      </c>
    </row>
  </sheetData>
  <mergeCells count="7">
    <mergeCell ref="L23:Q23"/>
    <mergeCell ref="L31:Q31"/>
    <mergeCell ref="L39:Q39"/>
    <mergeCell ref="B2:G2"/>
    <mergeCell ref="L2:Q2"/>
    <mergeCell ref="L9:Q9"/>
    <mergeCell ref="L16:Q1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46A834-2D4A-4D1A-AC75-DF62BAD53CB6}">
  <dimension ref="A2:R107"/>
  <sheetViews>
    <sheetView topLeftCell="F1" zoomScale="85" zoomScaleNormal="85" workbookViewId="0">
      <selection activeCell="K12" sqref="K12"/>
    </sheetView>
  </sheetViews>
  <sheetFormatPr baseColWidth="10" defaultRowHeight="14.4" x14ac:dyDescent="0.3"/>
  <cols>
    <col min="1" max="1" width="3.6640625" bestFit="1" customWidth="1"/>
    <col min="2" max="2" width="29.109375" customWidth="1"/>
    <col min="3" max="3" width="17.109375" customWidth="1"/>
    <col min="4" max="4" width="19" customWidth="1"/>
    <col min="5" max="5" width="16.88671875" customWidth="1"/>
    <col min="6" max="6" width="15.109375" customWidth="1"/>
    <col min="7" max="7" width="16.33203125" customWidth="1"/>
    <col min="8" max="8" width="13.33203125" customWidth="1"/>
    <col min="10" max="10" width="4.88671875" customWidth="1"/>
    <col min="11" max="11" width="27.5546875" customWidth="1"/>
    <col min="12" max="13" width="16.109375" customWidth="1"/>
    <col min="14" max="15" width="15.5546875" customWidth="1"/>
    <col min="17" max="17" width="14.6640625" customWidth="1"/>
    <col min="18" max="18" width="16.33203125" customWidth="1"/>
  </cols>
  <sheetData>
    <row r="2" spans="1:18" s="3" customFormat="1" ht="18" x14ac:dyDescent="0.35">
      <c r="B2" s="30" t="s">
        <v>12</v>
      </c>
      <c r="C2" s="30"/>
      <c r="D2" s="30"/>
      <c r="E2" s="30"/>
      <c r="F2" s="30"/>
      <c r="G2" s="30"/>
      <c r="K2" s="30" t="s">
        <v>61</v>
      </c>
      <c r="L2" s="30"/>
      <c r="M2" s="30"/>
      <c r="N2" s="30"/>
      <c r="O2" s="30"/>
      <c r="P2" s="30"/>
      <c r="Q2"/>
      <c r="R2"/>
    </row>
    <row r="3" spans="1:18" ht="28.8" x14ac:dyDescent="0.3">
      <c r="A3" s="10" t="s">
        <v>11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J3" s="10" t="s">
        <v>11</v>
      </c>
      <c r="K3" s="9" t="s">
        <v>4</v>
      </c>
      <c r="L3" s="23" t="s">
        <v>5</v>
      </c>
      <c r="M3" s="23" t="s">
        <v>54</v>
      </c>
      <c r="N3" s="23" t="s">
        <v>55</v>
      </c>
      <c r="O3" s="23" t="s">
        <v>57</v>
      </c>
      <c r="P3" s="23" t="s">
        <v>56</v>
      </c>
      <c r="Q3" s="23" t="s">
        <v>58</v>
      </c>
      <c r="R3" s="23" t="s">
        <v>59</v>
      </c>
    </row>
    <row r="4" spans="1:18" x14ac:dyDescent="0.3">
      <c r="A4" s="2">
        <v>1</v>
      </c>
      <c r="B4" s="6" t="s">
        <v>0</v>
      </c>
      <c r="C4" s="12">
        <f>18608.64+17445.6+0.06</f>
        <v>36054.299999999996</v>
      </c>
      <c r="D4" s="13">
        <v>0</v>
      </c>
      <c r="E4" s="13">
        <v>0</v>
      </c>
      <c r="F4" s="13">
        <v>0</v>
      </c>
      <c r="G4" s="13">
        <v>0</v>
      </c>
      <c r="J4" s="2">
        <v>1</v>
      </c>
      <c r="K4" s="6" t="s">
        <v>0</v>
      </c>
      <c r="L4" s="12"/>
      <c r="M4" s="13">
        <f t="shared" ref="M4:M7" si="0">+L4</f>
        <v>0</v>
      </c>
      <c r="N4" s="12"/>
      <c r="O4" s="12"/>
      <c r="P4" s="12"/>
      <c r="Q4" s="12">
        <f t="shared" ref="Q4" si="1">+N4+O4+P4</f>
        <v>0</v>
      </c>
      <c r="R4" s="12">
        <f t="shared" ref="R4" si="2">+M4-Q4</f>
        <v>0</v>
      </c>
    </row>
    <row r="5" spans="1:18" x14ac:dyDescent="0.3">
      <c r="A5" s="2">
        <v>2</v>
      </c>
      <c r="B5" s="6" t="s">
        <v>1</v>
      </c>
      <c r="C5" s="12">
        <f>11344.35+12100.64</f>
        <v>23444.989999999998</v>
      </c>
      <c r="D5" s="13">
        <v>0</v>
      </c>
      <c r="E5" s="13">
        <v>0</v>
      </c>
      <c r="F5" s="13">
        <v>0</v>
      </c>
      <c r="G5" s="13">
        <v>0</v>
      </c>
      <c r="J5" s="2">
        <v>2</v>
      </c>
      <c r="K5" s="6" t="s">
        <v>1</v>
      </c>
      <c r="L5" s="12"/>
      <c r="M5" s="13">
        <f>+L5</f>
        <v>0</v>
      </c>
      <c r="N5" s="12"/>
      <c r="O5" s="12"/>
      <c r="P5" s="12"/>
      <c r="Q5" s="12">
        <f>+N5+O5+P5</f>
        <v>0</v>
      </c>
      <c r="R5" s="12">
        <f>+M5-Q5</f>
        <v>0</v>
      </c>
    </row>
    <row r="6" spans="1:18" x14ac:dyDescent="0.3">
      <c r="A6" s="2">
        <v>3</v>
      </c>
      <c r="B6" s="6" t="s">
        <v>2</v>
      </c>
      <c r="C6" s="12">
        <f>12100.64+11344.35</f>
        <v>23444.989999999998</v>
      </c>
      <c r="D6" s="13">
        <v>0</v>
      </c>
      <c r="E6" s="13">
        <v>0</v>
      </c>
      <c r="F6" s="13">
        <v>0</v>
      </c>
      <c r="G6" s="13">
        <v>0</v>
      </c>
      <c r="J6" s="2">
        <v>3</v>
      </c>
      <c r="K6" s="6" t="s">
        <v>2</v>
      </c>
      <c r="L6" s="12"/>
      <c r="M6" s="13">
        <f t="shared" si="0"/>
        <v>0</v>
      </c>
      <c r="N6" s="12"/>
      <c r="O6" s="12"/>
      <c r="P6" s="12"/>
      <c r="Q6" s="12">
        <f t="shared" ref="Q6:Q7" si="3">+N6+O6+P6</f>
        <v>0</v>
      </c>
      <c r="R6" s="12">
        <f t="shared" ref="R6:R7" si="4">+M6-Q6</f>
        <v>0</v>
      </c>
    </row>
    <row r="7" spans="1:18" x14ac:dyDescent="0.3">
      <c r="A7" s="2">
        <v>4</v>
      </c>
      <c r="B7" s="6" t="s">
        <v>3</v>
      </c>
      <c r="C7" s="12">
        <f>8590.72+8053.8+0.13</f>
        <v>16644.650000000001</v>
      </c>
      <c r="D7" s="13">
        <v>0</v>
      </c>
      <c r="E7" s="13">
        <v>0</v>
      </c>
      <c r="F7" s="13">
        <v>0</v>
      </c>
      <c r="G7" s="13">
        <v>0</v>
      </c>
      <c r="J7" s="2">
        <v>4</v>
      </c>
      <c r="K7" s="6" t="s">
        <v>3</v>
      </c>
      <c r="L7" s="12"/>
      <c r="M7" s="13">
        <f t="shared" si="0"/>
        <v>0</v>
      </c>
      <c r="N7" s="12"/>
      <c r="O7" s="12"/>
      <c r="P7" s="12"/>
      <c r="Q7" s="12">
        <f t="shared" si="3"/>
        <v>0</v>
      </c>
      <c r="R7" s="12">
        <f t="shared" si="4"/>
        <v>0</v>
      </c>
    </row>
    <row r="8" spans="1:18" ht="18" x14ac:dyDescent="0.35">
      <c r="A8" s="1"/>
      <c r="B8" s="7" t="s">
        <v>10</v>
      </c>
      <c r="C8" s="8">
        <f>SUM(C4:C7)</f>
        <v>99588.93</v>
      </c>
      <c r="D8" s="8">
        <f>SUM(D4:D7)</f>
        <v>0</v>
      </c>
      <c r="E8" s="8">
        <f>SUM(E4:E7)</f>
        <v>0</v>
      </c>
      <c r="F8" s="8">
        <f>SUM(F4:F7)</f>
        <v>0</v>
      </c>
      <c r="G8" s="8">
        <f>SUM(G4:G7)</f>
        <v>0</v>
      </c>
      <c r="J8" s="1"/>
      <c r="K8" s="7" t="s">
        <v>10</v>
      </c>
      <c r="L8" s="8">
        <f>SUM(L4:L7)</f>
        <v>0</v>
      </c>
      <c r="M8" s="8">
        <f t="shared" ref="M8" si="5">SUM(M4:M7)</f>
        <v>0</v>
      </c>
      <c r="N8" s="8">
        <f t="shared" ref="N8" si="6">SUM(N4:N7)</f>
        <v>0</v>
      </c>
      <c r="O8" s="8">
        <f t="shared" ref="O8" si="7">SUM(O4:O7)</f>
        <v>0</v>
      </c>
      <c r="P8" s="8">
        <f t="shared" ref="P8" si="8">SUM(P4:P7)</f>
        <v>0</v>
      </c>
      <c r="Q8" s="8">
        <f t="shared" ref="Q8" si="9">SUM(Q4:Q7)</f>
        <v>0</v>
      </c>
      <c r="R8" s="8">
        <f t="shared" ref="R8" si="10">SUM(R4:R7)</f>
        <v>0</v>
      </c>
    </row>
    <row r="10" spans="1:18" ht="18" x14ac:dyDescent="0.35">
      <c r="C10" s="11"/>
      <c r="J10" s="3"/>
      <c r="K10" s="30" t="s">
        <v>67</v>
      </c>
      <c r="L10" s="30"/>
      <c r="M10" s="30"/>
      <c r="N10" s="30"/>
      <c r="O10" s="30"/>
      <c r="P10" s="30"/>
    </row>
    <row r="11" spans="1:18" ht="29.4" x14ac:dyDescent="0.35">
      <c r="A11" s="3"/>
      <c r="B11" s="30" t="s">
        <v>13</v>
      </c>
      <c r="C11" s="30"/>
      <c r="D11" s="30"/>
      <c r="E11" s="30"/>
      <c r="F11" s="30"/>
      <c r="G11" s="30"/>
      <c r="J11" s="10" t="s">
        <v>11</v>
      </c>
      <c r="K11" s="9" t="s">
        <v>4</v>
      </c>
      <c r="L11" s="23" t="s">
        <v>5</v>
      </c>
      <c r="M11" s="23" t="s">
        <v>54</v>
      </c>
      <c r="N11" s="23" t="s">
        <v>55</v>
      </c>
      <c r="O11" s="23" t="s">
        <v>57</v>
      </c>
      <c r="P11" s="23" t="s">
        <v>56</v>
      </c>
      <c r="Q11" s="23" t="s">
        <v>58</v>
      </c>
      <c r="R11" s="23" t="s">
        <v>59</v>
      </c>
    </row>
    <row r="12" spans="1:18" ht="28.8" x14ac:dyDescent="0.3">
      <c r="A12" s="10" t="s">
        <v>11</v>
      </c>
      <c r="B12" s="9" t="s">
        <v>4</v>
      </c>
      <c r="C12" s="9" t="s">
        <v>5</v>
      </c>
      <c r="D12" s="9" t="s">
        <v>6</v>
      </c>
      <c r="E12" s="9" t="s">
        <v>7</v>
      </c>
      <c r="F12" s="9" t="s">
        <v>8</v>
      </c>
      <c r="G12" s="9" t="s">
        <v>9</v>
      </c>
      <c r="J12" s="2">
        <v>1</v>
      </c>
      <c r="K12" s="6" t="s">
        <v>0</v>
      </c>
      <c r="L12" s="12"/>
      <c r="M12" s="13">
        <f t="shared" ref="M12:M15" si="11">+L12</f>
        <v>0</v>
      </c>
      <c r="N12" s="12"/>
      <c r="O12" s="12"/>
      <c r="P12" s="12"/>
      <c r="Q12" s="12">
        <f t="shared" ref="Q12" si="12">+N12+O12+P12</f>
        <v>0</v>
      </c>
      <c r="R12" s="12">
        <f t="shared" ref="R12" si="13">+M12-Q12</f>
        <v>0</v>
      </c>
    </row>
    <row r="13" spans="1:18" x14ac:dyDescent="0.3">
      <c r="A13" s="2">
        <v>1</v>
      </c>
      <c r="B13" s="6" t="s">
        <v>0</v>
      </c>
      <c r="C13" s="12">
        <f>17445.6+17445.6+0.07</f>
        <v>34891.269999999997</v>
      </c>
      <c r="D13" s="13">
        <v>0</v>
      </c>
      <c r="E13" s="13">
        <v>0</v>
      </c>
      <c r="F13" s="13">
        <v>0</v>
      </c>
      <c r="G13" s="13">
        <v>0</v>
      </c>
      <c r="J13" s="2">
        <v>2</v>
      </c>
      <c r="K13" s="6" t="s">
        <v>1</v>
      </c>
      <c r="L13" s="12"/>
      <c r="M13" s="13">
        <f>+L13</f>
        <v>0</v>
      </c>
      <c r="N13" s="12"/>
      <c r="O13" s="12"/>
      <c r="P13" s="12"/>
      <c r="Q13" s="12">
        <f>+N13+O13+P13</f>
        <v>0</v>
      </c>
      <c r="R13" s="12">
        <f>+M13-Q13</f>
        <v>0</v>
      </c>
    </row>
    <row r="14" spans="1:18" x14ac:dyDescent="0.3">
      <c r="A14" s="2">
        <v>2</v>
      </c>
      <c r="B14" s="6" t="s">
        <v>1</v>
      </c>
      <c r="C14" s="12">
        <f>11344.35+11344.35+0.11</f>
        <v>22688.81</v>
      </c>
      <c r="D14" s="13">
        <v>0</v>
      </c>
      <c r="E14" s="13">
        <v>0</v>
      </c>
      <c r="F14" s="13">
        <v>0</v>
      </c>
      <c r="G14" s="13">
        <v>0</v>
      </c>
      <c r="J14" s="2">
        <v>3</v>
      </c>
      <c r="K14" s="6" t="s">
        <v>2</v>
      </c>
      <c r="L14" s="12"/>
      <c r="M14" s="13">
        <f t="shared" si="11"/>
        <v>0</v>
      </c>
      <c r="N14" s="12"/>
      <c r="O14" s="12"/>
      <c r="P14" s="12"/>
      <c r="Q14" s="12">
        <f t="shared" ref="Q14:Q15" si="14">+N14+O14+P14</f>
        <v>0</v>
      </c>
      <c r="R14" s="12">
        <f t="shared" ref="R14:R15" si="15">+M14-Q14</f>
        <v>0</v>
      </c>
    </row>
    <row r="15" spans="1:18" x14ac:dyDescent="0.3">
      <c r="A15" s="2">
        <v>3</v>
      </c>
      <c r="B15" s="6" t="s">
        <v>2</v>
      </c>
      <c r="C15" s="12">
        <f>11344.35+11344.35+0.11</f>
        <v>22688.81</v>
      </c>
      <c r="D15" s="13">
        <v>0</v>
      </c>
      <c r="E15" s="13">
        <v>0</v>
      </c>
      <c r="F15" s="13">
        <v>0</v>
      </c>
      <c r="G15" s="13">
        <v>0</v>
      </c>
      <c r="J15" s="2">
        <v>4</v>
      </c>
      <c r="K15" s="6" t="s">
        <v>3</v>
      </c>
      <c r="L15" s="12"/>
      <c r="M15" s="13">
        <f t="shared" si="11"/>
        <v>0</v>
      </c>
      <c r="N15" s="12"/>
      <c r="O15" s="12"/>
      <c r="P15" s="12"/>
      <c r="Q15" s="12">
        <f t="shared" si="14"/>
        <v>0</v>
      </c>
      <c r="R15" s="12">
        <f t="shared" si="15"/>
        <v>0</v>
      </c>
    </row>
    <row r="16" spans="1:18" ht="18" x14ac:dyDescent="0.35">
      <c r="A16" s="2">
        <v>4</v>
      </c>
      <c r="B16" s="6" t="s">
        <v>3</v>
      </c>
      <c r="C16" s="12">
        <f>8053.8+8053.8+0.04</f>
        <v>16107.640000000001</v>
      </c>
      <c r="D16" s="13">
        <v>0</v>
      </c>
      <c r="E16" s="13">
        <v>0</v>
      </c>
      <c r="F16" s="13">
        <v>0</v>
      </c>
      <c r="G16" s="13">
        <v>0</v>
      </c>
      <c r="J16" s="1"/>
      <c r="K16" s="7" t="s">
        <v>10</v>
      </c>
      <c r="L16" s="8">
        <f>SUM(L12:L15)</f>
        <v>0</v>
      </c>
      <c r="M16" s="8">
        <f t="shared" ref="M16" si="16">SUM(M12:M15)</f>
        <v>0</v>
      </c>
      <c r="N16" s="8">
        <f t="shared" ref="N16" si="17">SUM(N12:N15)</f>
        <v>0</v>
      </c>
      <c r="O16" s="8">
        <f t="shared" ref="O16" si="18">SUM(O12:O15)</f>
        <v>0</v>
      </c>
      <c r="P16" s="8">
        <f t="shared" ref="P16" si="19">SUM(P12:P15)</f>
        <v>0</v>
      </c>
      <c r="Q16" s="8">
        <f t="shared" ref="Q16" si="20">SUM(Q12:Q15)</f>
        <v>0</v>
      </c>
      <c r="R16" s="8">
        <f t="shared" ref="R16" si="21">SUM(R12:R15)</f>
        <v>0</v>
      </c>
    </row>
    <row r="17" spans="1:18" ht="18" x14ac:dyDescent="0.35">
      <c r="A17" s="1"/>
      <c r="B17" s="7" t="s">
        <v>10</v>
      </c>
      <c r="C17" s="8">
        <f>SUM(C13:C16)</f>
        <v>96376.53</v>
      </c>
      <c r="D17" s="8">
        <f>SUM(D13:D16)</f>
        <v>0</v>
      </c>
      <c r="E17" s="8">
        <f>SUM(E13:E16)</f>
        <v>0</v>
      </c>
      <c r="F17" s="8">
        <f>SUM(F13:F16)</f>
        <v>0</v>
      </c>
      <c r="G17" s="8">
        <f>SUM(G13:G16)</f>
        <v>0</v>
      </c>
    </row>
    <row r="18" spans="1:18" ht="18" x14ac:dyDescent="0.35">
      <c r="J18" s="3"/>
      <c r="K18" s="30" t="s">
        <v>68</v>
      </c>
      <c r="L18" s="30"/>
      <c r="M18" s="30"/>
      <c r="N18" s="30"/>
      <c r="O18" s="30"/>
      <c r="P18" s="30"/>
    </row>
    <row r="19" spans="1:18" ht="28.8" x14ac:dyDescent="0.3">
      <c r="J19" s="10" t="s">
        <v>11</v>
      </c>
      <c r="K19" s="9" t="s">
        <v>4</v>
      </c>
      <c r="L19" s="23" t="s">
        <v>5</v>
      </c>
      <c r="M19" s="23" t="s">
        <v>54</v>
      </c>
      <c r="N19" s="23" t="s">
        <v>55</v>
      </c>
      <c r="O19" s="23" t="s">
        <v>57</v>
      </c>
      <c r="P19" s="23" t="s">
        <v>56</v>
      </c>
      <c r="Q19" s="23" t="s">
        <v>58</v>
      </c>
      <c r="R19" s="23" t="s">
        <v>59</v>
      </c>
    </row>
    <row r="20" spans="1:18" ht="18" x14ac:dyDescent="0.35">
      <c r="A20" s="3"/>
      <c r="B20" s="30" t="s">
        <v>14</v>
      </c>
      <c r="C20" s="30"/>
      <c r="D20" s="30"/>
      <c r="E20" s="30"/>
      <c r="F20" s="30"/>
      <c r="G20" s="30"/>
      <c r="J20" s="2">
        <v>1</v>
      </c>
      <c r="K20" s="6" t="s">
        <v>0</v>
      </c>
      <c r="L20" s="12"/>
      <c r="M20" s="13">
        <f t="shared" ref="M20:M23" si="22">+L20</f>
        <v>0</v>
      </c>
      <c r="N20" s="12"/>
      <c r="O20" s="12"/>
      <c r="P20" s="12"/>
      <c r="Q20" s="12">
        <f t="shared" ref="Q20:Q23" si="23">+N20+O20+P20</f>
        <v>0</v>
      </c>
      <c r="R20" s="12">
        <f t="shared" ref="R20:R23" si="24">+M20-Q20</f>
        <v>0</v>
      </c>
    </row>
    <row r="21" spans="1:18" ht="28.8" x14ac:dyDescent="0.3">
      <c r="A21" s="10" t="s">
        <v>11</v>
      </c>
      <c r="B21" s="9" t="s">
        <v>4</v>
      </c>
      <c r="C21" s="9" t="s">
        <v>5</v>
      </c>
      <c r="D21" s="9" t="s">
        <v>6</v>
      </c>
      <c r="E21" s="9" t="s">
        <v>7</v>
      </c>
      <c r="F21" s="9" t="s">
        <v>8</v>
      </c>
      <c r="G21" s="9" t="s">
        <v>9</v>
      </c>
      <c r="J21" s="2">
        <v>2</v>
      </c>
      <c r="K21" s="6" t="s">
        <v>1</v>
      </c>
      <c r="L21" s="12"/>
      <c r="M21" s="13">
        <f>+L21</f>
        <v>0</v>
      </c>
      <c r="N21" s="12"/>
      <c r="O21" s="12"/>
      <c r="P21" s="12"/>
      <c r="Q21" s="12">
        <f>+N21+O21+P21</f>
        <v>0</v>
      </c>
      <c r="R21" s="12">
        <f>+M21-Q21</f>
        <v>0</v>
      </c>
    </row>
    <row r="22" spans="1:18" x14ac:dyDescent="0.3">
      <c r="A22" s="2">
        <v>1</v>
      </c>
      <c r="B22" s="6" t="s">
        <v>0</v>
      </c>
      <c r="C22" s="12">
        <f>17445.6+17445.6+0.07</f>
        <v>34891.269999999997</v>
      </c>
      <c r="D22" s="13">
        <v>0</v>
      </c>
      <c r="E22" s="13">
        <v>0</v>
      </c>
      <c r="F22" s="13">
        <v>0</v>
      </c>
      <c r="G22" s="13">
        <v>0</v>
      </c>
      <c r="J22" s="2">
        <v>3</v>
      </c>
      <c r="K22" s="6" t="s">
        <v>2</v>
      </c>
      <c r="L22" s="12"/>
      <c r="M22" s="13">
        <f t="shared" si="22"/>
        <v>0</v>
      </c>
      <c r="N22" s="12"/>
      <c r="O22" s="12"/>
      <c r="P22" s="12"/>
      <c r="Q22" s="12">
        <f t="shared" si="23"/>
        <v>0</v>
      </c>
      <c r="R22" s="12">
        <f t="shared" si="24"/>
        <v>0</v>
      </c>
    </row>
    <row r="23" spans="1:18" x14ac:dyDescent="0.3">
      <c r="A23" s="2">
        <v>2</v>
      </c>
      <c r="B23" s="6" t="s">
        <v>1</v>
      </c>
      <c r="C23" s="12">
        <f>11344.35+11344.35+0.11</f>
        <v>22688.81</v>
      </c>
      <c r="D23" s="13">
        <v>0</v>
      </c>
      <c r="E23" s="13">
        <v>0</v>
      </c>
      <c r="F23" s="13">
        <v>0</v>
      </c>
      <c r="G23" s="13">
        <v>0</v>
      </c>
      <c r="J23" s="2">
        <v>4</v>
      </c>
      <c r="K23" s="6" t="s">
        <v>3</v>
      </c>
      <c r="L23" s="12"/>
      <c r="M23" s="13">
        <f t="shared" si="22"/>
        <v>0</v>
      </c>
      <c r="N23" s="12"/>
      <c r="O23" s="12"/>
      <c r="P23" s="12"/>
      <c r="Q23" s="12">
        <f t="shared" si="23"/>
        <v>0</v>
      </c>
      <c r="R23" s="12">
        <f t="shared" si="24"/>
        <v>0</v>
      </c>
    </row>
    <row r="24" spans="1:18" ht="18" x14ac:dyDescent="0.35">
      <c r="A24" s="2">
        <v>3</v>
      </c>
      <c r="B24" s="6" t="s">
        <v>2</v>
      </c>
      <c r="C24" s="12">
        <f>11344.35+11344.35+0.11</f>
        <v>22688.81</v>
      </c>
      <c r="D24" s="13">
        <v>0</v>
      </c>
      <c r="E24" s="13">
        <v>0</v>
      </c>
      <c r="F24" s="13">
        <v>0</v>
      </c>
      <c r="G24" s="13">
        <v>0</v>
      </c>
      <c r="J24" s="1"/>
      <c r="K24" s="7" t="s">
        <v>10</v>
      </c>
      <c r="L24" s="8">
        <f>SUM(L20:L23)</f>
        <v>0</v>
      </c>
      <c r="M24" s="8">
        <f t="shared" ref="M24:R24" si="25">SUM(M20:M23)</f>
        <v>0</v>
      </c>
      <c r="N24" s="8">
        <f t="shared" si="25"/>
        <v>0</v>
      </c>
      <c r="O24" s="8">
        <f t="shared" si="25"/>
        <v>0</v>
      </c>
      <c r="P24" s="8">
        <f t="shared" si="25"/>
        <v>0</v>
      </c>
      <c r="Q24" s="8">
        <f t="shared" si="25"/>
        <v>0</v>
      </c>
      <c r="R24" s="8">
        <f t="shared" si="25"/>
        <v>0</v>
      </c>
    </row>
    <row r="25" spans="1:18" x14ac:dyDescent="0.3">
      <c r="A25" s="2">
        <v>4</v>
      </c>
      <c r="B25" s="6" t="s">
        <v>3</v>
      </c>
      <c r="C25" s="12">
        <f>8053.8+8053.8+0.05</f>
        <v>16107.65</v>
      </c>
      <c r="D25" s="13">
        <v>0</v>
      </c>
      <c r="E25" s="13">
        <v>0</v>
      </c>
      <c r="F25" s="13">
        <v>0</v>
      </c>
      <c r="G25" s="13">
        <v>0</v>
      </c>
    </row>
    <row r="26" spans="1:18" ht="18" x14ac:dyDescent="0.35">
      <c r="A26" s="1"/>
      <c r="B26" s="7" t="s">
        <v>10</v>
      </c>
      <c r="C26" s="8">
        <f>SUM(C22:C25)</f>
        <v>96376.54</v>
      </c>
      <c r="D26" s="8">
        <f>SUM(D22:D25)</f>
        <v>0</v>
      </c>
      <c r="E26" s="8">
        <f>SUM(E22:E25)</f>
        <v>0</v>
      </c>
      <c r="F26" s="8">
        <f>SUM(F22:F25)</f>
        <v>0</v>
      </c>
      <c r="G26" s="8">
        <f>SUM(G22:G25)</f>
        <v>0</v>
      </c>
      <c r="J26" s="3"/>
      <c r="K26" s="30" t="s">
        <v>77</v>
      </c>
      <c r="L26" s="30"/>
      <c r="M26" s="30"/>
      <c r="N26" s="30"/>
      <c r="O26" s="30"/>
      <c r="P26" s="30"/>
    </row>
    <row r="27" spans="1:18" ht="28.8" x14ac:dyDescent="0.3">
      <c r="J27" s="10" t="s">
        <v>11</v>
      </c>
      <c r="K27" s="9" t="s">
        <v>4</v>
      </c>
      <c r="L27" s="23" t="s">
        <v>5</v>
      </c>
      <c r="M27" s="23" t="s">
        <v>54</v>
      </c>
      <c r="N27" s="23" t="s">
        <v>55</v>
      </c>
      <c r="O27" s="23" t="s">
        <v>57</v>
      </c>
      <c r="P27" s="23" t="s">
        <v>56</v>
      </c>
      <c r="Q27" s="23" t="s">
        <v>58</v>
      </c>
      <c r="R27" s="23" t="s">
        <v>59</v>
      </c>
    </row>
    <row r="28" spans="1:18" x14ac:dyDescent="0.3">
      <c r="J28" s="2">
        <v>1</v>
      </c>
      <c r="K28" s="6" t="s">
        <v>0</v>
      </c>
      <c r="L28" s="12"/>
      <c r="M28" s="13">
        <f t="shared" ref="M28:M31" si="26">+L28</f>
        <v>0</v>
      </c>
      <c r="N28" s="12"/>
      <c r="O28" s="12"/>
      <c r="P28" s="12"/>
      <c r="Q28" s="12">
        <f t="shared" ref="Q28" si="27">+N28+O28+P28</f>
        <v>0</v>
      </c>
      <c r="R28" s="12">
        <f t="shared" ref="R28" si="28">+M28-Q28</f>
        <v>0</v>
      </c>
    </row>
    <row r="29" spans="1:18" ht="18" x14ac:dyDescent="0.35">
      <c r="A29" s="3"/>
      <c r="B29" s="30" t="s">
        <v>15</v>
      </c>
      <c r="C29" s="30"/>
      <c r="D29" s="30"/>
      <c r="E29" s="30"/>
      <c r="F29" s="30"/>
      <c r="G29" s="30"/>
      <c r="J29" s="2">
        <v>2</v>
      </c>
      <c r="K29" s="6" t="s">
        <v>1</v>
      </c>
      <c r="L29" s="12"/>
      <c r="M29" s="13">
        <f>+L29</f>
        <v>0</v>
      </c>
      <c r="N29" s="12"/>
      <c r="O29" s="12"/>
      <c r="P29" s="12"/>
      <c r="Q29" s="12">
        <f>+N29+O29+P29</f>
        <v>0</v>
      </c>
      <c r="R29" s="12">
        <f>+M29-Q29</f>
        <v>0</v>
      </c>
    </row>
    <row r="30" spans="1:18" ht="28.8" x14ac:dyDescent="0.3">
      <c r="A30" s="10" t="s">
        <v>11</v>
      </c>
      <c r="B30" s="9" t="s">
        <v>4</v>
      </c>
      <c r="C30" s="9" t="s">
        <v>5</v>
      </c>
      <c r="D30" s="9" t="s">
        <v>6</v>
      </c>
      <c r="E30" s="9" t="s">
        <v>7</v>
      </c>
      <c r="F30" s="9" t="s">
        <v>24</v>
      </c>
      <c r="G30" s="9" t="s">
        <v>8</v>
      </c>
      <c r="H30" s="9" t="s">
        <v>9</v>
      </c>
      <c r="J30" s="2">
        <v>3</v>
      </c>
      <c r="K30" s="6" t="s">
        <v>2</v>
      </c>
      <c r="L30" s="12"/>
      <c r="M30" s="13">
        <f t="shared" si="26"/>
        <v>0</v>
      </c>
      <c r="N30" s="12"/>
      <c r="O30" s="12"/>
      <c r="P30" s="12"/>
      <c r="Q30" s="12">
        <f t="shared" ref="Q30:Q31" si="29">+N30+O30+P30</f>
        <v>0</v>
      </c>
      <c r="R30" s="12">
        <f t="shared" ref="R30:R31" si="30">+M30-Q30</f>
        <v>0</v>
      </c>
    </row>
    <row r="31" spans="1:18" x14ac:dyDescent="0.3">
      <c r="A31" s="2">
        <v>1</v>
      </c>
      <c r="B31" s="6" t="s">
        <v>0</v>
      </c>
      <c r="C31" s="12">
        <f>17445.6+17445.6+0.07</f>
        <v>34891.269999999997</v>
      </c>
      <c r="D31" s="13">
        <v>0</v>
      </c>
      <c r="E31" s="13">
        <v>0</v>
      </c>
      <c r="F31" s="12"/>
      <c r="G31" s="12"/>
      <c r="H31" s="12"/>
      <c r="J31" s="2">
        <v>4</v>
      </c>
      <c r="K31" s="6" t="s">
        <v>3</v>
      </c>
      <c r="L31" s="12"/>
      <c r="M31" s="13">
        <f t="shared" si="26"/>
        <v>0</v>
      </c>
      <c r="N31" s="12"/>
      <c r="O31" s="12"/>
      <c r="P31" s="12"/>
      <c r="Q31" s="12">
        <f t="shared" si="29"/>
        <v>0</v>
      </c>
      <c r="R31" s="12">
        <f t="shared" si="30"/>
        <v>0</v>
      </c>
    </row>
    <row r="32" spans="1:18" ht="18" x14ac:dyDescent="0.35">
      <c r="A32" s="2">
        <v>2</v>
      </c>
      <c r="B32" s="6" t="s">
        <v>1</v>
      </c>
      <c r="C32" s="12">
        <f>11344.35+11344.35</f>
        <v>22688.7</v>
      </c>
      <c r="D32" s="13">
        <v>0</v>
      </c>
      <c r="E32" s="13">
        <v>0</v>
      </c>
      <c r="F32" s="12">
        <v>4744.9399999999996</v>
      </c>
      <c r="G32" s="12">
        <v>1186.24</v>
      </c>
      <c r="H32" s="12">
        <v>3729.65</v>
      </c>
      <c r="J32" s="1"/>
      <c r="K32" s="7" t="s">
        <v>10</v>
      </c>
      <c r="L32" s="8">
        <f>SUM(L28:L31)</f>
        <v>0</v>
      </c>
      <c r="M32" s="8">
        <f t="shared" ref="M32" si="31">SUM(M28:M31)</f>
        <v>0</v>
      </c>
      <c r="N32" s="8">
        <f t="shared" ref="N32" si="32">SUM(N28:N31)</f>
        <v>0</v>
      </c>
      <c r="O32" s="8">
        <f t="shared" ref="O32" si="33">SUM(O28:O31)</f>
        <v>0</v>
      </c>
      <c r="P32" s="8">
        <f t="shared" ref="P32" si="34">SUM(P28:P31)</f>
        <v>0</v>
      </c>
      <c r="Q32" s="8">
        <f t="shared" ref="Q32" si="35">SUM(Q28:Q31)</f>
        <v>0</v>
      </c>
      <c r="R32" s="8">
        <f t="shared" ref="R32" si="36">SUM(R28:R31)</f>
        <v>0</v>
      </c>
    </row>
    <row r="33" spans="1:18" x14ac:dyDescent="0.3">
      <c r="A33" s="2">
        <v>3</v>
      </c>
      <c r="B33" s="6" t="s">
        <v>2</v>
      </c>
      <c r="C33" s="12">
        <f>11344.35+11344.35</f>
        <v>22688.7</v>
      </c>
      <c r="D33" s="13">
        <v>0</v>
      </c>
      <c r="E33" s="13">
        <v>0</v>
      </c>
      <c r="F33" s="12"/>
      <c r="G33" s="12"/>
      <c r="H33" s="12"/>
    </row>
    <row r="34" spans="1:18" ht="18" x14ac:dyDescent="0.35">
      <c r="A34" s="2">
        <v>4</v>
      </c>
      <c r="B34" s="6" t="s">
        <v>3</v>
      </c>
      <c r="C34" s="12">
        <f>8053.8+8053.8+0.05+0.05</f>
        <v>16107.699999999999</v>
      </c>
      <c r="D34" s="13">
        <v>0</v>
      </c>
      <c r="E34" s="13">
        <v>0</v>
      </c>
      <c r="F34" s="12"/>
      <c r="G34" s="12"/>
      <c r="H34" s="12"/>
      <c r="J34" s="3"/>
      <c r="K34" s="30" t="s">
        <v>76</v>
      </c>
      <c r="L34" s="30"/>
      <c r="M34" s="30"/>
      <c r="N34" s="30"/>
      <c r="O34" s="30"/>
      <c r="P34" s="30"/>
    </row>
    <row r="35" spans="1:18" ht="29.4" x14ac:dyDescent="0.35">
      <c r="A35" s="1"/>
      <c r="B35" s="7" t="s">
        <v>10</v>
      </c>
      <c r="C35" s="8">
        <f t="shared" ref="C35:H35" si="37">SUM(C31:C34)</f>
        <v>96376.37</v>
      </c>
      <c r="D35" s="8">
        <f t="shared" si="37"/>
        <v>0</v>
      </c>
      <c r="E35" s="8">
        <f t="shared" si="37"/>
        <v>0</v>
      </c>
      <c r="F35" s="8">
        <f t="shared" si="37"/>
        <v>4744.9399999999996</v>
      </c>
      <c r="G35" s="8">
        <f t="shared" si="37"/>
        <v>1186.24</v>
      </c>
      <c r="H35" s="8">
        <f t="shared" si="37"/>
        <v>3729.65</v>
      </c>
      <c r="J35" s="10" t="s">
        <v>11</v>
      </c>
      <c r="K35" s="9" t="s">
        <v>4</v>
      </c>
      <c r="L35" s="23" t="s">
        <v>5</v>
      </c>
      <c r="M35" s="23" t="s">
        <v>54</v>
      </c>
      <c r="N35" s="23" t="s">
        <v>55</v>
      </c>
      <c r="O35" s="23" t="s">
        <v>57</v>
      </c>
      <c r="P35" s="23" t="s">
        <v>56</v>
      </c>
      <c r="Q35" s="23" t="s">
        <v>58</v>
      </c>
      <c r="R35" s="23" t="s">
        <v>59</v>
      </c>
    </row>
    <row r="36" spans="1:18" x14ac:dyDescent="0.3">
      <c r="J36" s="2">
        <v>1</v>
      </c>
      <c r="K36" s="6" t="s">
        <v>0</v>
      </c>
      <c r="L36" s="12"/>
      <c r="M36" s="13">
        <f t="shared" ref="M36:M39" si="38">+L36</f>
        <v>0</v>
      </c>
      <c r="N36" s="12"/>
      <c r="O36" s="12"/>
      <c r="P36" s="12"/>
      <c r="Q36" s="12">
        <f t="shared" ref="Q36" si="39">+N36+O36+P36</f>
        <v>0</v>
      </c>
      <c r="R36" s="12">
        <f t="shared" ref="R36" si="40">+M36-Q36</f>
        <v>0</v>
      </c>
    </row>
    <row r="37" spans="1:18" x14ac:dyDescent="0.3">
      <c r="J37" s="2">
        <v>2</v>
      </c>
      <c r="K37" s="6" t="s">
        <v>1</v>
      </c>
      <c r="L37" s="12"/>
      <c r="M37" s="13">
        <f>+L37</f>
        <v>0</v>
      </c>
      <c r="N37" s="12"/>
      <c r="O37" s="12"/>
      <c r="P37" s="12"/>
      <c r="Q37" s="12">
        <f>+N37+O37+P37</f>
        <v>0</v>
      </c>
      <c r="R37" s="12">
        <f>+M37-Q37</f>
        <v>0</v>
      </c>
    </row>
    <row r="38" spans="1:18" ht="18" x14ac:dyDescent="0.35">
      <c r="A38" s="3"/>
      <c r="B38" s="30" t="s">
        <v>16</v>
      </c>
      <c r="C38" s="30"/>
      <c r="D38" s="30"/>
      <c r="E38" s="30"/>
      <c r="F38" s="30"/>
      <c r="G38" s="30"/>
      <c r="J38" s="2">
        <v>3</v>
      </c>
      <c r="K38" s="6" t="s">
        <v>2</v>
      </c>
      <c r="L38" s="12"/>
      <c r="M38" s="13">
        <f t="shared" si="38"/>
        <v>0</v>
      </c>
      <c r="N38" s="12"/>
      <c r="O38" s="12"/>
      <c r="P38" s="12"/>
      <c r="Q38" s="12">
        <f t="shared" ref="Q38:Q39" si="41">+N38+O38+P38</f>
        <v>0</v>
      </c>
      <c r="R38" s="12">
        <f t="shared" ref="R38:R39" si="42">+M38-Q38</f>
        <v>0</v>
      </c>
    </row>
    <row r="39" spans="1:18" ht="28.8" x14ac:dyDescent="0.3">
      <c r="A39" s="10" t="s">
        <v>11</v>
      </c>
      <c r="B39" s="9" t="s">
        <v>4</v>
      </c>
      <c r="C39" s="9" t="s">
        <v>5</v>
      </c>
      <c r="D39" s="9" t="s">
        <v>6</v>
      </c>
      <c r="E39" s="9" t="s">
        <v>7</v>
      </c>
      <c r="F39" s="9" t="s">
        <v>8</v>
      </c>
      <c r="G39" s="9" t="s">
        <v>9</v>
      </c>
      <c r="J39" s="2">
        <v>4</v>
      </c>
      <c r="K39" s="6" t="s">
        <v>3</v>
      </c>
      <c r="L39" s="12"/>
      <c r="M39" s="13">
        <f t="shared" si="38"/>
        <v>0</v>
      </c>
      <c r="N39" s="12"/>
      <c r="O39" s="12"/>
      <c r="P39" s="12"/>
      <c r="Q39" s="12">
        <f t="shared" si="41"/>
        <v>0</v>
      </c>
      <c r="R39" s="12">
        <f t="shared" si="42"/>
        <v>0</v>
      </c>
    </row>
    <row r="40" spans="1:18" ht="18" x14ac:dyDescent="0.35">
      <c r="A40" s="2">
        <v>1</v>
      </c>
      <c r="B40" s="6" t="s">
        <v>0</v>
      </c>
      <c r="C40" s="12">
        <f>17445.6+18608.64+0.07+0.06</f>
        <v>36054.369999999995</v>
      </c>
      <c r="D40" s="13">
        <v>0</v>
      </c>
      <c r="E40" s="13">
        <v>0</v>
      </c>
      <c r="F40" s="13">
        <v>0</v>
      </c>
      <c r="G40" s="13">
        <v>0</v>
      </c>
      <c r="J40" s="1"/>
      <c r="K40" s="7" t="s">
        <v>10</v>
      </c>
      <c r="L40" s="8">
        <f>SUM(L36:L39)</f>
        <v>0</v>
      </c>
      <c r="M40" s="8">
        <f t="shared" ref="M40" si="43">SUM(M36:M39)</f>
        <v>0</v>
      </c>
      <c r="N40" s="8">
        <f t="shared" ref="N40" si="44">SUM(N36:N39)</f>
        <v>0</v>
      </c>
      <c r="O40" s="8">
        <f t="shared" ref="O40" si="45">SUM(O36:O39)</f>
        <v>0</v>
      </c>
      <c r="P40" s="8">
        <f t="shared" ref="P40" si="46">SUM(P36:P39)</f>
        <v>0</v>
      </c>
      <c r="Q40" s="8">
        <f t="shared" ref="Q40" si="47">SUM(Q36:Q39)</f>
        <v>0</v>
      </c>
      <c r="R40" s="8">
        <f t="shared" ref="R40" si="48">SUM(R36:R39)</f>
        <v>0</v>
      </c>
    </row>
    <row r="41" spans="1:18" x14ac:dyDescent="0.3">
      <c r="A41" s="2">
        <v>2</v>
      </c>
      <c r="B41" s="6" t="s">
        <v>1</v>
      </c>
      <c r="C41" s="12"/>
      <c r="D41" s="13">
        <v>0</v>
      </c>
      <c r="E41" s="13">
        <v>0</v>
      </c>
      <c r="F41" s="13">
        <v>0</v>
      </c>
      <c r="G41" s="13">
        <v>0</v>
      </c>
    </row>
    <row r="42" spans="1:18" ht="18" x14ac:dyDescent="0.35">
      <c r="A42" s="2">
        <v>3</v>
      </c>
      <c r="B42" s="6" t="s">
        <v>2</v>
      </c>
      <c r="C42" s="12">
        <f>12100.64+11344.35+0.11</f>
        <v>23445.1</v>
      </c>
      <c r="D42" s="13">
        <v>0</v>
      </c>
      <c r="E42" s="13">
        <v>0</v>
      </c>
      <c r="F42" s="13">
        <v>0</v>
      </c>
      <c r="G42" s="13">
        <v>0</v>
      </c>
      <c r="J42" s="3"/>
      <c r="K42" s="30" t="s">
        <v>75</v>
      </c>
      <c r="L42" s="30"/>
      <c r="M42" s="30"/>
      <c r="N42" s="30"/>
      <c r="O42" s="30"/>
      <c r="P42" s="30"/>
    </row>
    <row r="43" spans="1:18" ht="28.8" x14ac:dyDescent="0.3">
      <c r="A43" s="2">
        <v>4</v>
      </c>
      <c r="B43" s="6" t="s">
        <v>3</v>
      </c>
      <c r="C43" s="12">
        <f>8590.72+8053.8+0.13</f>
        <v>16644.650000000001</v>
      </c>
      <c r="D43" s="13">
        <v>0</v>
      </c>
      <c r="E43" s="13">
        <v>0</v>
      </c>
      <c r="F43" s="13">
        <v>0</v>
      </c>
      <c r="G43" s="13">
        <v>0</v>
      </c>
      <c r="J43" s="10" t="s">
        <v>11</v>
      </c>
      <c r="K43" s="9" t="s">
        <v>4</v>
      </c>
      <c r="L43" s="23" t="s">
        <v>5</v>
      </c>
      <c r="M43" s="23" t="s">
        <v>54</v>
      </c>
      <c r="N43" s="23" t="s">
        <v>55</v>
      </c>
      <c r="O43" s="23" t="s">
        <v>57</v>
      </c>
      <c r="P43" s="23" t="s">
        <v>56</v>
      </c>
      <c r="Q43" s="23" t="s">
        <v>58</v>
      </c>
      <c r="R43" s="23" t="s">
        <v>59</v>
      </c>
    </row>
    <row r="44" spans="1:18" ht="18" x14ac:dyDescent="0.35">
      <c r="A44" s="1"/>
      <c r="B44" s="7" t="s">
        <v>10</v>
      </c>
      <c r="C44" s="8">
        <f>SUM(C40:C43)</f>
        <v>76144.12</v>
      </c>
      <c r="D44" s="8">
        <f>SUM(D40:D43)</f>
        <v>0</v>
      </c>
      <c r="E44" s="8">
        <f>SUM(E40:E43)</f>
        <v>0</v>
      </c>
      <c r="F44" s="8">
        <f>SUM(F40:F43)</f>
        <v>0</v>
      </c>
      <c r="G44" s="8">
        <f>SUM(G40:G43)</f>
        <v>0</v>
      </c>
      <c r="J44" s="2">
        <v>1</v>
      </c>
      <c r="K44" s="6" t="s">
        <v>0</v>
      </c>
      <c r="L44" s="12"/>
      <c r="M44" s="13">
        <f t="shared" ref="M44:M47" si="49">+L44</f>
        <v>0</v>
      </c>
      <c r="N44" s="12"/>
      <c r="O44" s="12"/>
      <c r="P44" s="12"/>
      <c r="Q44" s="12">
        <f t="shared" ref="Q44" si="50">+N44+O44+P44</f>
        <v>0</v>
      </c>
      <c r="R44" s="12">
        <f t="shared" ref="R44" si="51">+M44-Q44</f>
        <v>0</v>
      </c>
    </row>
    <row r="45" spans="1:18" x14ac:dyDescent="0.3">
      <c r="J45" s="2">
        <v>2</v>
      </c>
      <c r="K45" s="6" t="s">
        <v>1</v>
      </c>
      <c r="L45" s="12"/>
      <c r="M45" s="13">
        <f>+L45</f>
        <v>0</v>
      </c>
      <c r="N45" s="12"/>
      <c r="O45" s="12"/>
      <c r="P45" s="12"/>
      <c r="Q45" s="12">
        <f>+N45+O45+P45</f>
        <v>0</v>
      </c>
      <c r="R45" s="12">
        <f>+M45-Q45</f>
        <v>0</v>
      </c>
    </row>
    <row r="46" spans="1:18" x14ac:dyDescent="0.3">
      <c r="J46" s="2">
        <v>3</v>
      </c>
      <c r="K46" s="6" t="s">
        <v>2</v>
      </c>
      <c r="L46" s="12"/>
      <c r="M46" s="13">
        <f t="shared" si="49"/>
        <v>0</v>
      </c>
      <c r="N46" s="12"/>
      <c r="O46" s="12"/>
      <c r="P46" s="12"/>
      <c r="Q46" s="12">
        <f t="shared" ref="Q46:Q47" si="52">+N46+O46+P46</f>
        <v>0</v>
      </c>
      <c r="R46" s="12">
        <f t="shared" ref="R46:R47" si="53">+M46-Q46</f>
        <v>0</v>
      </c>
    </row>
    <row r="47" spans="1:18" ht="18" x14ac:dyDescent="0.35">
      <c r="A47" s="3"/>
      <c r="B47" s="30" t="s">
        <v>17</v>
      </c>
      <c r="C47" s="30"/>
      <c r="D47" s="30"/>
      <c r="E47" s="30"/>
      <c r="F47" s="30"/>
      <c r="G47" s="30"/>
      <c r="J47" s="2">
        <v>4</v>
      </c>
      <c r="K47" s="6" t="s">
        <v>3</v>
      </c>
      <c r="L47" s="12"/>
      <c r="M47" s="13">
        <f t="shared" si="49"/>
        <v>0</v>
      </c>
      <c r="N47" s="12"/>
      <c r="O47" s="12"/>
      <c r="P47" s="12"/>
      <c r="Q47" s="12">
        <f t="shared" si="52"/>
        <v>0</v>
      </c>
      <c r="R47" s="12">
        <f t="shared" si="53"/>
        <v>0</v>
      </c>
    </row>
    <row r="48" spans="1:18" ht="29.4" x14ac:dyDescent="0.35">
      <c r="A48" s="10" t="s">
        <v>11</v>
      </c>
      <c r="B48" s="9" t="s">
        <v>4</v>
      </c>
      <c r="C48" s="9" t="s">
        <v>5</v>
      </c>
      <c r="D48" s="9" t="s">
        <v>6</v>
      </c>
      <c r="E48" s="9" t="s">
        <v>7</v>
      </c>
      <c r="F48" s="9" t="s">
        <v>8</v>
      </c>
      <c r="G48" s="9" t="s">
        <v>9</v>
      </c>
      <c r="J48" s="1"/>
      <c r="K48" s="7" t="s">
        <v>10</v>
      </c>
      <c r="L48" s="8">
        <f>SUM(L44:L47)</f>
        <v>0</v>
      </c>
      <c r="M48" s="8">
        <f t="shared" ref="M48" si="54">SUM(M44:M47)</f>
        <v>0</v>
      </c>
      <c r="N48" s="8">
        <f t="shared" ref="N48" si="55">SUM(N44:N47)</f>
        <v>0</v>
      </c>
      <c r="O48" s="8">
        <f t="shared" ref="O48" si="56">SUM(O44:O47)</f>
        <v>0</v>
      </c>
      <c r="P48" s="8">
        <f t="shared" ref="P48" si="57">SUM(P44:P47)</f>
        <v>0</v>
      </c>
      <c r="Q48" s="8">
        <f t="shared" ref="Q48" si="58">SUM(Q44:Q47)</f>
        <v>0</v>
      </c>
      <c r="R48" s="8">
        <f t="shared" ref="R48" si="59">SUM(R44:R47)</f>
        <v>0</v>
      </c>
    </row>
    <row r="49" spans="1:18" x14ac:dyDescent="0.3">
      <c r="A49" s="2">
        <v>1</v>
      </c>
      <c r="B49" s="6" t="s">
        <v>0</v>
      </c>
      <c r="C49" s="12">
        <f>18317.85+18317.85+0.08</f>
        <v>36635.78</v>
      </c>
      <c r="D49" s="13">
        <v>0</v>
      </c>
      <c r="E49" s="13">
        <v>0</v>
      </c>
      <c r="F49" s="13">
        <v>0</v>
      </c>
      <c r="G49" s="13">
        <v>0</v>
      </c>
    </row>
    <row r="50" spans="1:18" ht="18" x14ac:dyDescent="0.35">
      <c r="A50" s="2">
        <v>2</v>
      </c>
      <c r="B50" s="6" t="s">
        <v>1</v>
      </c>
      <c r="C50" s="12">
        <f>11911.5+11911.5+0.07</f>
        <v>23823.07</v>
      </c>
      <c r="D50" s="13">
        <v>0</v>
      </c>
      <c r="E50" s="13">
        <v>0</v>
      </c>
      <c r="F50" s="13">
        <v>0</v>
      </c>
      <c r="G50" s="13">
        <v>0</v>
      </c>
      <c r="J50" s="3"/>
      <c r="K50" s="30" t="s">
        <v>74</v>
      </c>
      <c r="L50" s="30"/>
      <c r="M50" s="30"/>
      <c r="N50" s="30"/>
      <c r="O50" s="30"/>
      <c r="P50" s="30"/>
    </row>
    <row r="51" spans="1:18" ht="28.8" x14ac:dyDescent="0.3">
      <c r="A51" s="2">
        <v>3</v>
      </c>
      <c r="B51" s="6" t="s">
        <v>2</v>
      </c>
      <c r="C51" s="12">
        <f>11911.5+11911.5+0.07</f>
        <v>23823.07</v>
      </c>
      <c r="D51" s="13">
        <v>0</v>
      </c>
      <c r="E51" s="13">
        <v>0</v>
      </c>
      <c r="F51" s="13">
        <v>0</v>
      </c>
      <c r="G51" s="13">
        <v>0</v>
      </c>
      <c r="J51" s="10" t="s">
        <v>11</v>
      </c>
      <c r="K51" s="9" t="s">
        <v>4</v>
      </c>
      <c r="L51" s="23" t="s">
        <v>5</v>
      </c>
      <c r="M51" s="23" t="s">
        <v>54</v>
      </c>
      <c r="N51" s="23" t="s">
        <v>55</v>
      </c>
      <c r="O51" s="23" t="s">
        <v>57</v>
      </c>
      <c r="P51" s="23" t="s">
        <v>56</v>
      </c>
      <c r="Q51" s="23" t="s">
        <v>58</v>
      </c>
      <c r="R51" s="23" t="s">
        <v>59</v>
      </c>
    </row>
    <row r="52" spans="1:18" x14ac:dyDescent="0.3">
      <c r="A52" s="2">
        <v>4</v>
      </c>
      <c r="B52" s="6" t="s">
        <v>3</v>
      </c>
      <c r="D52" s="13">
        <v>0</v>
      </c>
      <c r="E52" s="13">
        <v>0</v>
      </c>
      <c r="F52" s="13">
        <v>0</v>
      </c>
      <c r="G52" s="13">
        <v>0</v>
      </c>
      <c r="J52" s="2">
        <v>1</v>
      </c>
      <c r="K52" s="6" t="s">
        <v>0</v>
      </c>
      <c r="L52" s="12"/>
      <c r="M52" s="13">
        <f t="shared" ref="M52:M55" si="60">+L52</f>
        <v>0</v>
      </c>
      <c r="N52" s="12"/>
      <c r="O52" s="12"/>
      <c r="P52" s="12"/>
      <c r="Q52" s="12">
        <f t="shared" ref="Q52" si="61">+N52+O52+P52</f>
        <v>0</v>
      </c>
      <c r="R52" s="12">
        <f t="shared" ref="R52" si="62">+M52-Q52</f>
        <v>0</v>
      </c>
    </row>
    <row r="53" spans="1:18" ht="18" x14ac:dyDescent="0.35">
      <c r="A53" s="1"/>
      <c r="B53" s="7" t="s">
        <v>10</v>
      </c>
      <c r="C53" s="8">
        <f>SUM(C49:C51)</f>
        <v>84281.919999999998</v>
      </c>
      <c r="D53" s="8">
        <f>SUM(D49:D52)</f>
        <v>0</v>
      </c>
      <c r="E53" s="8">
        <f>SUM(E49:E52)</f>
        <v>0</v>
      </c>
      <c r="F53" s="8">
        <f>SUM(F49:F52)</f>
        <v>0</v>
      </c>
      <c r="G53" s="8">
        <f>SUM(G49:G52)</f>
        <v>0</v>
      </c>
      <c r="J53" s="2">
        <v>2</v>
      </c>
      <c r="K53" s="6" t="s">
        <v>1</v>
      </c>
      <c r="L53" s="12"/>
      <c r="M53" s="13">
        <f>+L53</f>
        <v>0</v>
      </c>
      <c r="N53" s="12"/>
      <c r="O53" s="12"/>
      <c r="P53" s="12"/>
      <c r="Q53" s="12">
        <f>+N53+O53+P53</f>
        <v>0</v>
      </c>
      <c r="R53" s="12">
        <f>+M53-Q53</f>
        <v>0</v>
      </c>
    </row>
    <row r="54" spans="1:18" x14ac:dyDescent="0.3">
      <c r="J54" s="2">
        <v>3</v>
      </c>
      <c r="K54" s="6" t="s">
        <v>2</v>
      </c>
      <c r="L54" s="12"/>
      <c r="M54" s="13">
        <f t="shared" si="60"/>
        <v>0</v>
      </c>
      <c r="N54" s="12"/>
      <c r="O54" s="12"/>
      <c r="P54" s="12"/>
      <c r="Q54" s="12">
        <f t="shared" ref="Q54:Q55" si="63">+N54+O54+P54</f>
        <v>0</v>
      </c>
      <c r="R54" s="12">
        <f t="shared" ref="R54:R55" si="64">+M54-Q54</f>
        <v>0</v>
      </c>
    </row>
    <row r="55" spans="1:18" x14ac:dyDescent="0.3">
      <c r="J55" s="2">
        <v>4</v>
      </c>
      <c r="K55" s="6" t="s">
        <v>3</v>
      </c>
      <c r="L55" s="12"/>
      <c r="M55" s="13">
        <f t="shared" si="60"/>
        <v>0</v>
      </c>
      <c r="N55" s="12"/>
      <c r="O55" s="12"/>
      <c r="P55" s="12"/>
      <c r="Q55" s="12">
        <f t="shared" si="63"/>
        <v>0</v>
      </c>
      <c r="R55" s="12">
        <f t="shared" si="64"/>
        <v>0</v>
      </c>
    </row>
    <row r="56" spans="1:18" ht="18" x14ac:dyDescent="0.35">
      <c r="A56" s="3"/>
      <c r="B56" s="30" t="s">
        <v>18</v>
      </c>
      <c r="C56" s="30"/>
      <c r="D56" s="30"/>
      <c r="E56" s="30"/>
      <c r="F56" s="30"/>
      <c r="G56" s="30"/>
      <c r="J56" s="1"/>
      <c r="K56" s="7" t="s">
        <v>10</v>
      </c>
      <c r="L56" s="8">
        <f>SUM(L52:L55)</f>
        <v>0</v>
      </c>
      <c r="M56" s="8">
        <f t="shared" ref="M56" si="65">SUM(M52:M55)</f>
        <v>0</v>
      </c>
      <c r="N56" s="8">
        <f t="shared" ref="N56" si="66">SUM(N52:N55)</f>
        <v>0</v>
      </c>
      <c r="O56" s="8">
        <f t="shared" ref="O56" si="67">SUM(O52:O55)</f>
        <v>0</v>
      </c>
      <c r="P56" s="8">
        <f t="shared" ref="P56" si="68">SUM(P52:P55)</f>
        <v>0</v>
      </c>
      <c r="Q56" s="8">
        <f t="shared" ref="Q56" si="69">SUM(Q52:Q55)</f>
        <v>0</v>
      </c>
      <c r="R56" s="8">
        <f t="shared" ref="R56" si="70">SUM(R52:R55)</f>
        <v>0</v>
      </c>
    </row>
    <row r="57" spans="1:18" ht="29.4" x14ac:dyDescent="0.35">
      <c r="A57" s="10" t="s">
        <v>11</v>
      </c>
      <c r="B57" s="9" t="s">
        <v>4</v>
      </c>
      <c r="C57" s="9" t="s">
        <v>5</v>
      </c>
      <c r="D57" s="9" t="s">
        <v>6</v>
      </c>
      <c r="E57" s="9" t="s">
        <v>7</v>
      </c>
      <c r="F57" s="9" t="s">
        <v>8</v>
      </c>
      <c r="G57" s="9" t="s">
        <v>9</v>
      </c>
      <c r="J57" s="3"/>
      <c r="K57" s="30" t="s">
        <v>73</v>
      </c>
      <c r="L57" s="30"/>
      <c r="M57" s="30"/>
      <c r="N57" s="30"/>
      <c r="O57" s="30"/>
      <c r="P57" s="30"/>
    </row>
    <row r="58" spans="1:18" ht="28.8" x14ac:dyDescent="0.3">
      <c r="A58" s="2">
        <v>1</v>
      </c>
      <c r="B58" s="6" t="s">
        <v>0</v>
      </c>
      <c r="C58" s="12">
        <f>18317.85+19539.04+0.08</f>
        <v>37856.97</v>
      </c>
      <c r="D58" s="13">
        <v>0</v>
      </c>
      <c r="E58" s="13">
        <v>0</v>
      </c>
      <c r="F58" s="13">
        <v>0</v>
      </c>
      <c r="G58" s="13">
        <v>0</v>
      </c>
      <c r="J58" s="10" t="s">
        <v>11</v>
      </c>
      <c r="K58" s="9" t="s">
        <v>4</v>
      </c>
      <c r="L58" s="23" t="s">
        <v>5</v>
      </c>
      <c r="M58" s="23" t="s">
        <v>54</v>
      </c>
      <c r="N58" s="23" t="s">
        <v>55</v>
      </c>
      <c r="O58" s="23" t="s">
        <v>57</v>
      </c>
      <c r="P58" s="23" t="s">
        <v>56</v>
      </c>
      <c r="Q58" s="23" t="s">
        <v>58</v>
      </c>
      <c r="R58" s="23" t="s">
        <v>59</v>
      </c>
    </row>
    <row r="59" spans="1:18" x14ac:dyDescent="0.3">
      <c r="A59" s="2">
        <v>2</v>
      </c>
      <c r="B59" s="6" t="s">
        <v>1</v>
      </c>
      <c r="C59" s="12">
        <f>12705.6+11911.5+0.07</f>
        <v>24617.17</v>
      </c>
      <c r="D59" s="13">
        <v>0</v>
      </c>
      <c r="E59" s="13">
        <v>0</v>
      </c>
      <c r="F59" s="13">
        <v>0</v>
      </c>
      <c r="G59" s="13">
        <v>0</v>
      </c>
      <c r="J59" s="2">
        <v>1</v>
      </c>
      <c r="K59" s="6" t="s">
        <v>0</v>
      </c>
      <c r="L59" s="12"/>
      <c r="M59" s="13">
        <f t="shared" ref="M59:M62" si="71">+L59</f>
        <v>0</v>
      </c>
      <c r="N59" s="12"/>
      <c r="O59" s="12"/>
      <c r="P59" s="12"/>
      <c r="Q59" s="12">
        <f t="shared" ref="Q59" si="72">+N59+O59+P59</f>
        <v>0</v>
      </c>
      <c r="R59" s="12">
        <f t="shared" ref="R59" si="73">+M59-Q59</f>
        <v>0</v>
      </c>
    </row>
    <row r="60" spans="1:18" x14ac:dyDescent="0.3">
      <c r="A60" s="2">
        <v>3</v>
      </c>
      <c r="B60" s="6" t="s">
        <v>2</v>
      </c>
      <c r="C60" s="12">
        <f>11911.5+12705+0.07</f>
        <v>24616.57</v>
      </c>
      <c r="D60" s="13">
        <v>0</v>
      </c>
      <c r="E60" s="13">
        <v>0</v>
      </c>
      <c r="F60" s="13">
        <v>0</v>
      </c>
      <c r="G60" s="13">
        <v>0</v>
      </c>
      <c r="J60" s="2">
        <v>2</v>
      </c>
      <c r="K60" s="6" t="s">
        <v>1</v>
      </c>
      <c r="L60" s="12"/>
      <c r="M60" s="13">
        <f>+L60</f>
        <v>0</v>
      </c>
      <c r="N60" s="12"/>
      <c r="O60" s="12"/>
      <c r="P60" s="12"/>
      <c r="Q60" s="12">
        <f>+N60+O60+P60</f>
        <v>0</v>
      </c>
      <c r="R60" s="12">
        <f>+M60-Q60</f>
        <v>0</v>
      </c>
    </row>
    <row r="61" spans="1:18" x14ac:dyDescent="0.3">
      <c r="A61" s="2">
        <v>4</v>
      </c>
      <c r="B61" s="6" t="s">
        <v>3</v>
      </c>
      <c r="C61" s="12">
        <f>8613.12+7536.48+0.12</f>
        <v>16149.720000000001</v>
      </c>
      <c r="D61" s="13">
        <v>0</v>
      </c>
      <c r="E61" s="13">
        <v>0</v>
      </c>
      <c r="F61" s="13">
        <v>0</v>
      </c>
      <c r="G61" s="13">
        <v>0</v>
      </c>
      <c r="J61" s="2">
        <v>3</v>
      </c>
      <c r="K61" s="6" t="s">
        <v>2</v>
      </c>
      <c r="L61" s="12"/>
      <c r="M61" s="13">
        <f t="shared" si="71"/>
        <v>0</v>
      </c>
      <c r="N61" s="12"/>
      <c r="O61" s="12"/>
      <c r="P61" s="12"/>
      <c r="Q61" s="12">
        <f t="shared" ref="Q61:Q62" si="74">+N61+O61+P61</f>
        <v>0</v>
      </c>
      <c r="R61" s="12">
        <f t="shared" ref="R61:R62" si="75">+M61-Q61</f>
        <v>0</v>
      </c>
    </row>
    <row r="62" spans="1:18" ht="18" x14ac:dyDescent="0.35">
      <c r="A62" s="1"/>
      <c r="B62" s="7" t="s">
        <v>10</v>
      </c>
      <c r="C62" s="8">
        <f>SUM(C58:C61)</f>
        <v>103240.43</v>
      </c>
      <c r="D62" s="8">
        <f>SUM(D58:D61)</f>
        <v>0</v>
      </c>
      <c r="E62" s="8">
        <f>SUM(E58:E61)</f>
        <v>0</v>
      </c>
      <c r="F62" s="8">
        <f>SUM(F58:F61)</f>
        <v>0</v>
      </c>
      <c r="G62" s="8">
        <f>SUM(G58:G61)</f>
        <v>0</v>
      </c>
      <c r="J62" s="2">
        <v>4</v>
      </c>
      <c r="K62" s="6" t="s">
        <v>3</v>
      </c>
      <c r="L62" s="12"/>
      <c r="M62" s="13">
        <f t="shared" si="71"/>
        <v>0</v>
      </c>
      <c r="N62" s="12"/>
      <c r="O62" s="12"/>
      <c r="P62" s="12"/>
      <c r="Q62" s="12">
        <f t="shared" si="74"/>
        <v>0</v>
      </c>
      <c r="R62" s="12">
        <f t="shared" si="75"/>
        <v>0</v>
      </c>
    </row>
    <row r="63" spans="1:18" ht="18" x14ac:dyDescent="0.35">
      <c r="J63" s="1"/>
      <c r="K63" s="7" t="s">
        <v>10</v>
      </c>
      <c r="L63" s="8">
        <f>SUM(L59:L62)</f>
        <v>0</v>
      </c>
      <c r="M63" s="8">
        <f t="shared" ref="M63" si="76">SUM(M59:M62)</f>
        <v>0</v>
      </c>
      <c r="N63" s="8">
        <f t="shared" ref="N63" si="77">SUM(N59:N62)</f>
        <v>0</v>
      </c>
      <c r="O63" s="8">
        <f t="shared" ref="O63" si="78">SUM(O59:O62)</f>
        <v>0</v>
      </c>
      <c r="P63" s="8">
        <f t="shared" ref="P63" si="79">SUM(P59:P62)</f>
        <v>0</v>
      </c>
      <c r="Q63" s="8">
        <f t="shared" ref="Q63" si="80">SUM(Q59:Q62)</f>
        <v>0</v>
      </c>
      <c r="R63" s="8">
        <f t="shared" ref="R63" si="81">SUM(R59:R62)</f>
        <v>0</v>
      </c>
    </row>
    <row r="65" spans="1:18" ht="18" x14ac:dyDescent="0.35">
      <c r="A65" s="3"/>
      <c r="B65" s="30" t="s">
        <v>19</v>
      </c>
      <c r="C65" s="30"/>
      <c r="D65" s="30"/>
      <c r="E65" s="30"/>
      <c r="F65" s="30"/>
      <c r="G65" s="30"/>
      <c r="J65" s="3"/>
      <c r="K65" s="30" t="s">
        <v>72</v>
      </c>
      <c r="L65" s="30"/>
      <c r="M65" s="30"/>
      <c r="N65" s="30"/>
      <c r="O65" s="30"/>
      <c r="P65" s="30"/>
    </row>
    <row r="66" spans="1:18" ht="28.8" x14ac:dyDescent="0.3">
      <c r="A66" s="10" t="s">
        <v>11</v>
      </c>
      <c r="B66" s="9" t="s">
        <v>4</v>
      </c>
      <c r="C66" s="9" t="s">
        <v>5</v>
      </c>
      <c r="D66" s="9" t="s">
        <v>6</v>
      </c>
      <c r="E66" s="9" t="s">
        <v>7</v>
      </c>
      <c r="F66" s="9" t="s">
        <v>8</v>
      </c>
      <c r="G66" s="9" t="s">
        <v>9</v>
      </c>
      <c r="J66" s="10" t="s">
        <v>11</v>
      </c>
      <c r="K66" s="9" t="s">
        <v>4</v>
      </c>
      <c r="L66" s="23" t="s">
        <v>5</v>
      </c>
      <c r="M66" s="23" t="s">
        <v>54</v>
      </c>
      <c r="N66" s="23" t="s">
        <v>55</v>
      </c>
      <c r="O66" s="23" t="s">
        <v>57</v>
      </c>
      <c r="P66" s="23" t="s">
        <v>56</v>
      </c>
      <c r="Q66" s="23" t="s">
        <v>58</v>
      </c>
      <c r="R66" s="23" t="s">
        <v>59</v>
      </c>
    </row>
    <row r="67" spans="1:18" x14ac:dyDescent="0.3">
      <c r="A67" s="2">
        <v>1</v>
      </c>
      <c r="B67" s="6" t="s">
        <v>0</v>
      </c>
      <c r="C67" s="12">
        <f>19539.04+18317.85+0.08+0.03</f>
        <v>37857</v>
      </c>
      <c r="D67" s="13">
        <v>0</v>
      </c>
      <c r="E67" s="13">
        <v>0</v>
      </c>
      <c r="F67" s="13">
        <v>0</v>
      </c>
      <c r="G67" s="13">
        <v>0</v>
      </c>
      <c r="J67" s="2">
        <v>1</v>
      </c>
      <c r="K67" s="6" t="s">
        <v>0</v>
      </c>
      <c r="L67" s="12"/>
      <c r="M67" s="13">
        <f t="shared" ref="M67:M70" si="82">+L67</f>
        <v>0</v>
      </c>
      <c r="N67" s="12"/>
      <c r="O67" s="12"/>
      <c r="P67" s="12"/>
      <c r="Q67" s="12">
        <f t="shared" ref="Q67" si="83">+N67+O67+P67</f>
        <v>0</v>
      </c>
      <c r="R67" s="12">
        <f t="shared" ref="R67" si="84">+M67-Q67</f>
        <v>0</v>
      </c>
    </row>
    <row r="68" spans="1:18" x14ac:dyDescent="0.3">
      <c r="A68" s="2">
        <v>2</v>
      </c>
      <c r="B68" s="6" t="s">
        <v>1</v>
      </c>
      <c r="C68" s="12">
        <f>12705.6+11911.5+0.07</f>
        <v>24617.17</v>
      </c>
      <c r="D68" s="13">
        <v>0</v>
      </c>
      <c r="E68" s="13">
        <v>0</v>
      </c>
      <c r="F68" s="13">
        <v>0</v>
      </c>
      <c r="G68" s="13">
        <v>0</v>
      </c>
      <c r="J68" s="2">
        <v>2</v>
      </c>
      <c r="K68" s="6" t="s">
        <v>1</v>
      </c>
      <c r="L68" s="12"/>
      <c r="M68" s="13">
        <f>+L68</f>
        <v>0</v>
      </c>
      <c r="N68" s="12"/>
      <c r="O68" s="12"/>
      <c r="P68" s="12"/>
      <c r="Q68" s="12">
        <f>+N68+O68+P68</f>
        <v>0</v>
      </c>
      <c r="R68" s="12">
        <f>+M68-Q68</f>
        <v>0</v>
      </c>
    </row>
    <row r="69" spans="1:18" x14ac:dyDescent="0.3">
      <c r="A69" s="2">
        <v>3</v>
      </c>
      <c r="B69" s="6" t="s">
        <v>2</v>
      </c>
      <c r="C69" s="12">
        <f>11911.5+12705.6+0.07</f>
        <v>24617.17</v>
      </c>
      <c r="D69" s="13">
        <v>0</v>
      </c>
      <c r="E69" s="13">
        <v>0</v>
      </c>
      <c r="F69" s="13">
        <v>0</v>
      </c>
      <c r="G69" s="13">
        <v>0</v>
      </c>
      <c r="J69" s="2">
        <v>3</v>
      </c>
      <c r="K69" s="6" t="s">
        <v>2</v>
      </c>
      <c r="L69" s="12"/>
      <c r="M69" s="13">
        <f t="shared" si="82"/>
        <v>0</v>
      </c>
      <c r="N69" s="12"/>
      <c r="O69" s="12"/>
      <c r="P69" s="12"/>
      <c r="Q69" s="12">
        <f t="shared" ref="Q69:Q70" si="85">+N69+O69+P69</f>
        <v>0</v>
      </c>
      <c r="R69" s="12">
        <f t="shared" ref="R69:R70" si="86">+M69-Q69</f>
        <v>0</v>
      </c>
    </row>
    <row r="70" spans="1:18" x14ac:dyDescent="0.3">
      <c r="A70" s="2">
        <v>4</v>
      </c>
      <c r="B70" s="6" t="s">
        <v>3</v>
      </c>
      <c r="C70" s="12">
        <f>8613.12+8074.8</f>
        <v>16687.920000000002</v>
      </c>
      <c r="D70" s="13">
        <v>0</v>
      </c>
      <c r="E70" s="13">
        <v>0</v>
      </c>
      <c r="F70" s="13">
        <v>0</v>
      </c>
      <c r="G70" s="13">
        <v>0</v>
      </c>
      <c r="J70" s="2">
        <v>4</v>
      </c>
      <c r="K70" s="6" t="s">
        <v>3</v>
      </c>
      <c r="L70" s="12"/>
      <c r="M70" s="13">
        <f t="shared" si="82"/>
        <v>0</v>
      </c>
      <c r="N70" s="12"/>
      <c r="O70" s="12"/>
      <c r="P70" s="12"/>
      <c r="Q70" s="12">
        <f t="shared" si="85"/>
        <v>0</v>
      </c>
      <c r="R70" s="12">
        <f t="shared" si="86"/>
        <v>0</v>
      </c>
    </row>
    <row r="71" spans="1:18" ht="18" x14ac:dyDescent="0.35">
      <c r="A71" s="1"/>
      <c r="B71" s="7" t="s">
        <v>10</v>
      </c>
      <c r="C71" s="8">
        <f>SUM(C67:C70)</f>
        <v>103779.26</v>
      </c>
      <c r="D71" s="8">
        <f>SUM(D67:D70)</f>
        <v>0</v>
      </c>
      <c r="E71" s="8">
        <f>SUM(E67:E70)</f>
        <v>0</v>
      </c>
      <c r="F71" s="8">
        <f>SUM(F67:F70)</f>
        <v>0</v>
      </c>
      <c r="G71" s="8">
        <f>SUM(G67:G70)</f>
        <v>0</v>
      </c>
      <c r="J71" s="1"/>
      <c r="K71" s="7" t="s">
        <v>10</v>
      </c>
      <c r="L71" s="8">
        <f>SUM(L67:L70)</f>
        <v>0</v>
      </c>
      <c r="M71" s="8">
        <f t="shared" ref="M71" si="87">SUM(M67:M70)</f>
        <v>0</v>
      </c>
      <c r="N71" s="8">
        <f t="shared" ref="N71" si="88">SUM(N67:N70)</f>
        <v>0</v>
      </c>
      <c r="O71" s="8">
        <f t="shared" ref="O71" si="89">SUM(O67:O70)</f>
        <v>0</v>
      </c>
      <c r="P71" s="8">
        <f t="shared" ref="P71" si="90">SUM(P67:P70)</f>
        <v>0</v>
      </c>
      <c r="Q71" s="8">
        <f t="shared" ref="Q71" si="91">SUM(Q67:Q70)</f>
        <v>0</v>
      </c>
      <c r="R71" s="8">
        <f t="shared" ref="R71" si="92">SUM(R67:R70)</f>
        <v>0</v>
      </c>
    </row>
    <row r="73" spans="1:18" ht="18" x14ac:dyDescent="0.35">
      <c r="J73" s="3"/>
      <c r="K73" s="30" t="s">
        <v>71</v>
      </c>
      <c r="L73" s="30"/>
      <c r="M73" s="30"/>
      <c r="N73" s="30"/>
      <c r="O73" s="30"/>
      <c r="P73" s="30"/>
    </row>
    <row r="74" spans="1:18" ht="29.4" x14ac:dyDescent="0.35">
      <c r="A74" s="3"/>
      <c r="B74" s="30" t="s">
        <v>20</v>
      </c>
      <c r="C74" s="30"/>
      <c r="D74" s="30"/>
      <c r="E74" s="30"/>
      <c r="F74" s="30"/>
      <c r="G74" s="30"/>
      <c r="J74" s="10" t="s">
        <v>11</v>
      </c>
      <c r="K74" s="9" t="s">
        <v>4</v>
      </c>
      <c r="L74" s="23" t="s">
        <v>5</v>
      </c>
      <c r="M74" s="23" t="s">
        <v>54</v>
      </c>
      <c r="N74" s="23" t="s">
        <v>55</v>
      </c>
      <c r="O74" s="23" t="s">
        <v>57</v>
      </c>
      <c r="P74" s="23" t="s">
        <v>56</v>
      </c>
      <c r="Q74" s="23" t="s">
        <v>58</v>
      </c>
      <c r="R74" s="23" t="s">
        <v>59</v>
      </c>
    </row>
    <row r="75" spans="1:18" ht="28.8" x14ac:dyDescent="0.3">
      <c r="A75" s="10" t="s">
        <v>11</v>
      </c>
      <c r="B75" s="9" t="s">
        <v>4</v>
      </c>
      <c r="C75" s="9" t="s">
        <v>5</v>
      </c>
      <c r="D75" s="9" t="s">
        <v>6</v>
      </c>
      <c r="E75" s="9" t="s">
        <v>7</v>
      </c>
      <c r="F75" s="9" t="s">
        <v>8</v>
      </c>
      <c r="G75" s="9" t="s">
        <v>9</v>
      </c>
      <c r="J75" s="2">
        <v>1</v>
      </c>
      <c r="K75" s="6" t="s">
        <v>0</v>
      </c>
      <c r="L75" s="12"/>
      <c r="M75" s="13">
        <f t="shared" ref="M75:M78" si="93">+L75</f>
        <v>0</v>
      </c>
      <c r="N75" s="12"/>
      <c r="O75" s="12"/>
      <c r="P75" s="12"/>
      <c r="Q75" s="12">
        <f t="shared" ref="Q75" si="94">+N75+O75+P75</f>
        <v>0</v>
      </c>
      <c r="R75" s="12">
        <f t="shared" ref="R75" si="95">+M75-Q75</f>
        <v>0</v>
      </c>
    </row>
    <row r="76" spans="1:18" x14ac:dyDescent="0.3">
      <c r="A76" s="2">
        <v>1</v>
      </c>
      <c r="B76" s="6" t="s">
        <v>0</v>
      </c>
      <c r="C76" s="12">
        <f>18317.85+18317.85+0.12+0.09</f>
        <v>36635.909999999996</v>
      </c>
      <c r="D76" s="13">
        <v>0</v>
      </c>
      <c r="E76" s="13">
        <v>0</v>
      </c>
      <c r="F76" s="13">
        <v>18317.849999999999</v>
      </c>
      <c r="G76" s="13">
        <v>0</v>
      </c>
      <c r="J76" s="2">
        <v>2</v>
      </c>
      <c r="K76" s="6" t="s">
        <v>1</v>
      </c>
      <c r="L76" s="12"/>
      <c r="M76" s="13">
        <f>+L76</f>
        <v>0</v>
      </c>
      <c r="N76" s="12"/>
      <c r="O76" s="12"/>
      <c r="P76" s="12"/>
      <c r="Q76" s="12">
        <f>+N76+O76+P76</f>
        <v>0</v>
      </c>
      <c r="R76" s="12">
        <f>+M76-Q76</f>
        <v>0</v>
      </c>
    </row>
    <row r="77" spans="1:18" x14ac:dyDescent="0.3">
      <c r="A77" s="2">
        <v>2</v>
      </c>
      <c r="B77" s="6" t="s">
        <v>1</v>
      </c>
      <c r="C77" s="12">
        <f>11911.5+11911.5+0.02</f>
        <v>23823.02</v>
      </c>
      <c r="D77" s="13">
        <v>0</v>
      </c>
      <c r="E77" s="13">
        <v>0</v>
      </c>
      <c r="F77" s="13">
        <v>1985.25</v>
      </c>
      <c r="G77" s="13">
        <v>0</v>
      </c>
      <c r="J77" s="2">
        <v>3</v>
      </c>
      <c r="K77" s="6" t="s">
        <v>2</v>
      </c>
      <c r="L77" s="12"/>
      <c r="M77" s="13">
        <f t="shared" si="93"/>
        <v>0</v>
      </c>
      <c r="N77" s="12"/>
      <c r="O77" s="12"/>
      <c r="P77" s="12"/>
      <c r="Q77" s="12">
        <f t="shared" ref="Q77:Q78" si="96">+N77+O77+P77</f>
        <v>0</v>
      </c>
      <c r="R77" s="12">
        <f t="shared" ref="R77:R78" si="97">+M77-Q77</f>
        <v>0</v>
      </c>
    </row>
    <row r="78" spans="1:18" x14ac:dyDescent="0.3">
      <c r="A78" s="2">
        <v>3</v>
      </c>
      <c r="B78" s="6" t="s">
        <v>2</v>
      </c>
      <c r="C78" s="12">
        <f>11911.5+11911.5+0.02</f>
        <v>23823.02</v>
      </c>
      <c r="D78" s="13">
        <v>0</v>
      </c>
      <c r="E78" s="13">
        <v>0</v>
      </c>
      <c r="F78" s="13">
        <v>1985.25</v>
      </c>
      <c r="G78" s="13">
        <v>0</v>
      </c>
      <c r="J78" s="2">
        <v>4</v>
      </c>
      <c r="K78" s="6" t="s">
        <v>3</v>
      </c>
      <c r="L78" s="12"/>
      <c r="M78" s="13">
        <f t="shared" si="93"/>
        <v>0</v>
      </c>
      <c r="N78" s="12"/>
      <c r="O78" s="12"/>
      <c r="P78" s="12"/>
      <c r="Q78" s="12">
        <f t="shared" si="96"/>
        <v>0</v>
      </c>
      <c r="R78" s="12">
        <f t="shared" si="97"/>
        <v>0</v>
      </c>
    </row>
    <row r="79" spans="1:18" ht="18" x14ac:dyDescent="0.35">
      <c r="A79" s="2">
        <v>4</v>
      </c>
      <c r="B79" s="6" t="s">
        <v>3</v>
      </c>
      <c r="C79" s="12">
        <f>8074.8+8074.8</f>
        <v>16149.6</v>
      </c>
      <c r="D79" s="13">
        <v>0</v>
      </c>
      <c r="E79" s="13">
        <v>0</v>
      </c>
      <c r="F79" s="13">
        <v>0</v>
      </c>
      <c r="G79" s="13">
        <v>0</v>
      </c>
      <c r="J79" s="1"/>
      <c r="K79" s="7" t="s">
        <v>10</v>
      </c>
      <c r="L79" s="8">
        <f>SUM(L75:L78)</f>
        <v>0</v>
      </c>
      <c r="M79" s="8">
        <f t="shared" ref="M79" si="98">SUM(M75:M78)</f>
        <v>0</v>
      </c>
      <c r="N79" s="8">
        <f t="shared" ref="N79" si="99">SUM(N75:N78)</f>
        <v>0</v>
      </c>
      <c r="O79" s="8">
        <f t="shared" ref="O79" si="100">SUM(O75:O78)</f>
        <v>0</v>
      </c>
      <c r="P79" s="8">
        <f t="shared" ref="P79" si="101">SUM(P75:P78)</f>
        <v>0</v>
      </c>
      <c r="Q79" s="8">
        <f t="shared" ref="Q79" si="102">SUM(Q75:Q78)</f>
        <v>0</v>
      </c>
      <c r="R79" s="8">
        <f t="shared" ref="R79" si="103">SUM(R75:R78)</f>
        <v>0</v>
      </c>
    </row>
    <row r="80" spans="1:18" ht="18" x14ac:dyDescent="0.35">
      <c r="A80" s="1"/>
      <c r="B80" s="7" t="s">
        <v>10</v>
      </c>
      <c r="C80" s="8">
        <f>SUM(C76:C79)</f>
        <v>100431.55</v>
      </c>
      <c r="D80" s="8">
        <f>SUM(D76:D79)</f>
        <v>0</v>
      </c>
      <c r="E80" s="8">
        <f>SUM(E76:E79)</f>
        <v>0</v>
      </c>
      <c r="F80" s="8">
        <f>SUM(F76:F79)</f>
        <v>22288.35</v>
      </c>
      <c r="G80" s="8">
        <f>SUM(G76:G79)</f>
        <v>0</v>
      </c>
    </row>
    <row r="81" spans="1:18" ht="18" x14ac:dyDescent="0.35">
      <c r="J81" s="3"/>
      <c r="K81" s="30" t="s">
        <v>70</v>
      </c>
      <c r="L81" s="30"/>
      <c r="M81" s="30"/>
      <c r="N81" s="30"/>
      <c r="O81" s="30"/>
      <c r="P81" s="30"/>
    </row>
    <row r="82" spans="1:18" ht="28.8" x14ac:dyDescent="0.3">
      <c r="J82" s="10" t="s">
        <v>11</v>
      </c>
      <c r="K82" s="9" t="s">
        <v>4</v>
      </c>
      <c r="L82" s="23" t="s">
        <v>5</v>
      </c>
      <c r="M82" s="23" t="s">
        <v>54</v>
      </c>
      <c r="N82" s="23" t="s">
        <v>55</v>
      </c>
      <c r="O82" s="23" t="s">
        <v>57</v>
      </c>
      <c r="P82" s="23" t="s">
        <v>56</v>
      </c>
      <c r="Q82" s="23" t="s">
        <v>58</v>
      </c>
      <c r="R82" s="23" t="s">
        <v>59</v>
      </c>
    </row>
    <row r="83" spans="1:18" ht="18" x14ac:dyDescent="0.35">
      <c r="A83" s="3"/>
      <c r="B83" s="30" t="s">
        <v>21</v>
      </c>
      <c r="C83" s="30"/>
      <c r="D83" s="30"/>
      <c r="E83" s="30"/>
      <c r="F83" s="30"/>
      <c r="G83" s="30"/>
      <c r="J83" s="2">
        <v>1</v>
      </c>
      <c r="K83" s="6" t="s">
        <v>0</v>
      </c>
      <c r="L83" s="12"/>
      <c r="M83" s="13">
        <f t="shared" ref="M83:M86" si="104">+L83</f>
        <v>0</v>
      </c>
      <c r="N83" s="12"/>
      <c r="O83" s="12"/>
      <c r="P83" s="12"/>
      <c r="Q83" s="12">
        <f t="shared" ref="Q83" si="105">+N83+O83+P83</f>
        <v>0</v>
      </c>
      <c r="R83" s="12">
        <f t="shared" ref="R83" si="106">+M83-Q83</f>
        <v>0</v>
      </c>
    </row>
    <row r="84" spans="1:18" ht="28.8" x14ac:dyDescent="0.3">
      <c r="A84" s="10" t="s">
        <v>11</v>
      </c>
      <c r="B84" s="9" t="s">
        <v>4</v>
      </c>
      <c r="C84" s="9" t="s">
        <v>5</v>
      </c>
      <c r="D84" s="9" t="s">
        <v>6</v>
      </c>
      <c r="E84" s="9" t="s">
        <v>7</v>
      </c>
      <c r="F84" s="9" t="s">
        <v>8</v>
      </c>
      <c r="G84" s="9" t="s">
        <v>9</v>
      </c>
      <c r="J84" s="2">
        <v>2</v>
      </c>
      <c r="K84" s="6" t="s">
        <v>1</v>
      </c>
      <c r="L84" s="12"/>
      <c r="M84" s="13">
        <f>+L84</f>
        <v>0</v>
      </c>
      <c r="N84" s="12"/>
      <c r="O84" s="12"/>
      <c r="P84" s="12"/>
      <c r="Q84" s="12">
        <f>+N84+O84+P84</f>
        <v>0</v>
      </c>
      <c r="R84" s="12">
        <f>+M84-Q84</f>
        <v>0</v>
      </c>
    </row>
    <row r="85" spans="1:18" x14ac:dyDescent="0.3">
      <c r="A85" s="2">
        <v>1</v>
      </c>
      <c r="B85" s="6" t="s">
        <v>0</v>
      </c>
      <c r="C85" s="12">
        <f>19539.04+18317.85+0.08</f>
        <v>37856.97</v>
      </c>
      <c r="D85" s="13">
        <v>0</v>
      </c>
      <c r="E85" s="13">
        <v>0</v>
      </c>
      <c r="F85" s="13">
        <v>0</v>
      </c>
      <c r="G85" s="13">
        <v>0</v>
      </c>
      <c r="J85" s="2">
        <v>3</v>
      </c>
      <c r="K85" s="6" t="s">
        <v>2</v>
      </c>
      <c r="L85" s="12"/>
      <c r="M85" s="13">
        <f t="shared" si="104"/>
        <v>0</v>
      </c>
      <c r="N85" s="12"/>
      <c r="O85" s="12"/>
      <c r="P85" s="12"/>
      <c r="Q85" s="12">
        <f t="shared" ref="Q85:Q86" si="107">+N85+O85+P85</f>
        <v>0</v>
      </c>
      <c r="R85" s="12">
        <f t="shared" ref="R85:R86" si="108">+M85-Q85</f>
        <v>0</v>
      </c>
    </row>
    <row r="86" spans="1:18" x14ac:dyDescent="0.3">
      <c r="A86" s="2">
        <v>2</v>
      </c>
      <c r="B86" s="6" t="s">
        <v>1</v>
      </c>
      <c r="C86" s="12">
        <f>12705.6+11911.5+0.13</f>
        <v>24617.23</v>
      </c>
      <c r="D86" s="13">
        <v>0</v>
      </c>
      <c r="E86" s="13">
        <v>0</v>
      </c>
      <c r="F86" s="13">
        <v>0</v>
      </c>
      <c r="G86" s="13">
        <v>0</v>
      </c>
      <c r="J86" s="2">
        <v>4</v>
      </c>
      <c r="K86" s="6" t="s">
        <v>3</v>
      </c>
      <c r="L86" s="12"/>
      <c r="M86" s="13">
        <f t="shared" si="104"/>
        <v>0</v>
      </c>
      <c r="N86" s="12"/>
      <c r="O86" s="12"/>
      <c r="P86" s="12"/>
      <c r="Q86" s="12">
        <f t="shared" si="107"/>
        <v>0</v>
      </c>
      <c r="R86" s="12">
        <f t="shared" si="108"/>
        <v>0</v>
      </c>
    </row>
    <row r="87" spans="1:18" ht="18" x14ac:dyDescent="0.35">
      <c r="A87" s="2">
        <v>3</v>
      </c>
      <c r="B87" s="6" t="s">
        <v>2</v>
      </c>
      <c r="C87" s="12">
        <f>12705.6+11911.5+0.13</f>
        <v>24617.23</v>
      </c>
      <c r="D87" s="13">
        <v>0</v>
      </c>
      <c r="E87" s="13">
        <v>0</v>
      </c>
      <c r="F87" s="13">
        <v>0</v>
      </c>
      <c r="G87" s="13">
        <v>0</v>
      </c>
      <c r="J87" s="1"/>
      <c r="K87" s="7" t="s">
        <v>10</v>
      </c>
      <c r="L87" s="8">
        <f>SUM(L83:L86)</f>
        <v>0</v>
      </c>
      <c r="M87" s="8">
        <f t="shared" ref="M87" si="109">SUM(M83:M86)</f>
        <v>0</v>
      </c>
      <c r="N87" s="8">
        <f t="shared" ref="N87" si="110">SUM(N83:N86)</f>
        <v>0</v>
      </c>
      <c r="O87" s="8">
        <f t="shared" ref="O87" si="111">SUM(O83:O86)</f>
        <v>0</v>
      </c>
      <c r="P87" s="8">
        <f t="shared" ref="P87" si="112">SUM(P83:P86)</f>
        <v>0</v>
      </c>
      <c r="Q87" s="8">
        <f t="shared" ref="Q87" si="113">SUM(Q83:Q86)</f>
        <v>0</v>
      </c>
      <c r="R87" s="8">
        <f t="shared" ref="R87" si="114">SUM(R83:R86)</f>
        <v>0</v>
      </c>
    </row>
    <row r="88" spans="1:18" x14ac:dyDescent="0.3">
      <c r="A88" s="2">
        <v>4</v>
      </c>
      <c r="B88" s="6" t="s">
        <v>3</v>
      </c>
      <c r="C88" s="12">
        <f>8613.12+8074.8+0.12</f>
        <v>16688.04</v>
      </c>
      <c r="D88" s="13">
        <v>0</v>
      </c>
      <c r="E88" s="13">
        <v>0</v>
      </c>
      <c r="F88" s="13">
        <v>0</v>
      </c>
      <c r="G88" s="13">
        <v>0</v>
      </c>
    </row>
    <row r="89" spans="1:18" ht="18" x14ac:dyDescent="0.35">
      <c r="A89" s="1"/>
      <c r="B89" s="7" t="s">
        <v>10</v>
      </c>
      <c r="C89" s="8">
        <f>SUM(C85:C88)</f>
        <v>103779.47</v>
      </c>
      <c r="D89" s="8">
        <f>SUM(D85:D88)</f>
        <v>0</v>
      </c>
      <c r="E89" s="8">
        <f>SUM(E85:E88)</f>
        <v>0</v>
      </c>
      <c r="F89" s="8">
        <f>SUM(F85:F88)</f>
        <v>0</v>
      </c>
      <c r="G89" s="8">
        <f>SUM(G85:G88)</f>
        <v>0</v>
      </c>
      <c r="J89" s="3"/>
      <c r="K89" s="30" t="s">
        <v>69</v>
      </c>
      <c r="L89" s="30"/>
      <c r="M89" s="30"/>
      <c r="N89" s="30"/>
      <c r="O89" s="30"/>
      <c r="P89" s="30"/>
    </row>
    <row r="90" spans="1:18" ht="28.8" x14ac:dyDescent="0.3">
      <c r="J90" s="10" t="s">
        <v>11</v>
      </c>
      <c r="K90" s="9" t="s">
        <v>4</v>
      </c>
      <c r="L90" s="23" t="s">
        <v>5</v>
      </c>
      <c r="M90" s="23" t="s">
        <v>54</v>
      </c>
      <c r="N90" s="23" t="s">
        <v>55</v>
      </c>
      <c r="O90" s="23" t="s">
        <v>57</v>
      </c>
      <c r="P90" s="23" t="s">
        <v>56</v>
      </c>
      <c r="Q90" s="23" t="s">
        <v>58</v>
      </c>
      <c r="R90" s="23" t="s">
        <v>59</v>
      </c>
    </row>
    <row r="91" spans="1:18" x14ac:dyDescent="0.3">
      <c r="J91" s="2">
        <v>1</v>
      </c>
      <c r="K91" s="6" t="s">
        <v>0</v>
      </c>
      <c r="L91" s="12"/>
      <c r="M91" s="13">
        <f t="shared" ref="M91:M94" si="115">+L91</f>
        <v>0</v>
      </c>
      <c r="N91" s="12"/>
      <c r="O91" s="12"/>
      <c r="P91" s="12"/>
      <c r="Q91" s="12">
        <f t="shared" ref="Q91" si="116">+N91+O91+P91</f>
        <v>0</v>
      </c>
      <c r="R91" s="12">
        <f t="shared" ref="R91" si="117">+M91-Q91</f>
        <v>0</v>
      </c>
    </row>
    <row r="92" spans="1:18" ht="18" x14ac:dyDescent="0.35">
      <c r="A92" s="3"/>
      <c r="B92" s="30" t="s">
        <v>22</v>
      </c>
      <c r="C92" s="30"/>
      <c r="D92" s="30"/>
      <c r="E92" s="30"/>
      <c r="F92" s="30"/>
      <c r="G92" s="30"/>
      <c r="J92" s="2">
        <v>2</v>
      </c>
      <c r="K92" s="6" t="s">
        <v>1</v>
      </c>
      <c r="L92" s="12"/>
      <c r="M92" s="13">
        <f>+L92</f>
        <v>0</v>
      </c>
      <c r="N92" s="12"/>
      <c r="O92" s="12"/>
      <c r="P92" s="12"/>
      <c r="Q92" s="12">
        <f>+N92+O92+P92</f>
        <v>0</v>
      </c>
      <c r="R92" s="12">
        <f>+M92-Q92</f>
        <v>0</v>
      </c>
    </row>
    <row r="93" spans="1:18" ht="28.8" x14ac:dyDescent="0.3">
      <c r="A93" s="10" t="s">
        <v>11</v>
      </c>
      <c r="B93" s="9" t="s">
        <v>4</v>
      </c>
      <c r="C93" s="9" t="s">
        <v>5</v>
      </c>
      <c r="D93" s="9" t="s">
        <v>6</v>
      </c>
      <c r="E93" s="9" t="s">
        <v>7</v>
      </c>
      <c r="F93" s="9" t="s">
        <v>8</v>
      </c>
      <c r="G93" s="9" t="s">
        <v>9</v>
      </c>
      <c r="J93" s="2">
        <v>3</v>
      </c>
      <c r="K93" s="6" t="s">
        <v>2</v>
      </c>
      <c r="L93" s="12"/>
      <c r="M93" s="13">
        <f t="shared" si="115"/>
        <v>0</v>
      </c>
      <c r="N93" s="12"/>
      <c r="O93" s="12"/>
      <c r="P93" s="12"/>
      <c r="Q93" s="12">
        <f t="shared" ref="Q93:Q94" si="118">+N93+O93+P93</f>
        <v>0</v>
      </c>
      <c r="R93" s="12">
        <f t="shared" ref="R93:R94" si="119">+M93-Q93</f>
        <v>0</v>
      </c>
    </row>
    <row r="94" spans="1:18" x14ac:dyDescent="0.3">
      <c r="A94" s="2">
        <v>1</v>
      </c>
      <c r="B94" s="6" t="s">
        <v>0</v>
      </c>
      <c r="C94" s="12">
        <f>18317.85+18317.85+0.08+0.08</f>
        <v>36635.86</v>
      </c>
      <c r="D94" s="13">
        <v>0</v>
      </c>
      <c r="E94" s="13">
        <v>0</v>
      </c>
      <c r="F94" s="13">
        <v>0</v>
      </c>
      <c r="G94" s="13">
        <v>0</v>
      </c>
      <c r="J94" s="2">
        <v>4</v>
      </c>
      <c r="K94" s="6" t="s">
        <v>3</v>
      </c>
      <c r="L94" s="12"/>
      <c r="M94" s="13">
        <f t="shared" si="115"/>
        <v>0</v>
      </c>
      <c r="N94" s="12"/>
      <c r="O94" s="12"/>
      <c r="P94" s="12"/>
      <c r="Q94" s="12">
        <f t="shared" si="118"/>
        <v>0</v>
      </c>
      <c r="R94" s="12">
        <f t="shared" si="119"/>
        <v>0</v>
      </c>
    </row>
    <row r="95" spans="1:18" ht="18" x14ac:dyDescent="0.35">
      <c r="A95" s="2">
        <v>2</v>
      </c>
      <c r="B95" s="6" t="s">
        <v>1</v>
      </c>
      <c r="C95" s="12">
        <f>11911.5*2+0.07</f>
        <v>23823.07</v>
      </c>
      <c r="D95" s="13">
        <v>0</v>
      </c>
      <c r="E95" s="13">
        <v>0</v>
      </c>
      <c r="F95" s="13">
        <v>0</v>
      </c>
      <c r="G95" s="13">
        <v>0</v>
      </c>
      <c r="J95" s="1"/>
      <c r="K95" s="7" t="s">
        <v>10</v>
      </c>
      <c r="L95" s="8">
        <f>SUM(L91:L94)</f>
        <v>0</v>
      </c>
      <c r="M95" s="8">
        <f t="shared" ref="M95" si="120">SUM(M91:M94)</f>
        <v>0</v>
      </c>
      <c r="N95" s="8">
        <f t="shared" ref="N95" si="121">SUM(N91:N94)</f>
        <v>0</v>
      </c>
      <c r="O95" s="8">
        <f t="shared" ref="O95" si="122">SUM(O91:O94)</f>
        <v>0</v>
      </c>
      <c r="P95" s="8">
        <f t="shared" ref="P95" si="123">SUM(P91:P94)</f>
        <v>0</v>
      </c>
      <c r="Q95" s="8">
        <f t="shared" ref="Q95" si="124">SUM(Q91:Q94)</f>
        <v>0</v>
      </c>
      <c r="R95" s="8">
        <f t="shared" ref="R95" si="125">SUM(R91:R94)</f>
        <v>0</v>
      </c>
    </row>
    <row r="96" spans="1:18" x14ac:dyDescent="0.3">
      <c r="A96" s="2">
        <v>3</v>
      </c>
      <c r="B96" s="6" t="s">
        <v>2</v>
      </c>
      <c r="C96" s="12">
        <f>11911.5+11911.5+0.07</f>
        <v>23823.07</v>
      </c>
      <c r="D96" s="13">
        <v>0</v>
      </c>
      <c r="E96" s="13">
        <v>0</v>
      </c>
      <c r="F96" s="13">
        <v>0</v>
      </c>
      <c r="G96" s="13">
        <v>0</v>
      </c>
    </row>
    <row r="97" spans="1:7" x14ac:dyDescent="0.3">
      <c r="A97" s="2">
        <v>4</v>
      </c>
      <c r="B97" s="6" t="s">
        <v>3</v>
      </c>
      <c r="C97" s="12">
        <f>8074.8+8074.8</f>
        <v>16149.6</v>
      </c>
      <c r="D97" s="13">
        <v>0</v>
      </c>
      <c r="E97" s="13">
        <v>0</v>
      </c>
      <c r="F97" s="13">
        <v>0</v>
      </c>
      <c r="G97" s="13">
        <v>0</v>
      </c>
    </row>
    <row r="98" spans="1:7" ht="18" x14ac:dyDescent="0.35">
      <c r="A98" s="1"/>
      <c r="B98" s="7" t="s">
        <v>10</v>
      </c>
      <c r="C98" s="8">
        <f>SUM(C94:C97)</f>
        <v>100431.6</v>
      </c>
      <c r="D98" s="8">
        <f>SUM(D94:D97)</f>
        <v>0</v>
      </c>
      <c r="E98" s="8">
        <f>SUM(E94:E97)</f>
        <v>0</v>
      </c>
      <c r="F98" s="8">
        <f>SUM(F94:F97)</f>
        <v>0</v>
      </c>
      <c r="G98" s="8">
        <f>SUM(G94:G97)</f>
        <v>0</v>
      </c>
    </row>
    <row r="101" spans="1:7" ht="18" x14ac:dyDescent="0.35">
      <c r="A101" s="3"/>
      <c r="B101" s="30" t="s">
        <v>23</v>
      </c>
      <c r="C101" s="30"/>
      <c r="D101" s="30"/>
      <c r="E101" s="30"/>
      <c r="F101" s="30"/>
      <c r="G101" s="30"/>
    </row>
    <row r="102" spans="1:7" ht="28.8" x14ac:dyDescent="0.3">
      <c r="A102" s="10" t="s">
        <v>11</v>
      </c>
      <c r="B102" s="9" t="s">
        <v>4</v>
      </c>
      <c r="C102" s="9" t="s">
        <v>5</v>
      </c>
      <c r="D102" s="9" t="s">
        <v>6</v>
      </c>
      <c r="E102" s="9" t="s">
        <v>7</v>
      </c>
      <c r="F102" s="9" t="s">
        <v>8</v>
      </c>
      <c r="G102" s="9" t="s">
        <v>9</v>
      </c>
    </row>
    <row r="103" spans="1:7" x14ac:dyDescent="0.3">
      <c r="A103" s="2">
        <v>1</v>
      </c>
      <c r="B103" s="6" t="s">
        <v>0</v>
      </c>
      <c r="C103" s="12">
        <f>19539.04+18317.85+0.08+0.03</f>
        <v>37857</v>
      </c>
      <c r="D103" s="13">
        <v>0</v>
      </c>
      <c r="E103" s="13">
        <v>0</v>
      </c>
      <c r="F103" s="13">
        <v>0</v>
      </c>
      <c r="G103" s="12">
        <v>18317.849999999999</v>
      </c>
    </row>
    <row r="104" spans="1:7" x14ac:dyDescent="0.3">
      <c r="A104" s="2">
        <v>2</v>
      </c>
      <c r="B104" s="6" t="s">
        <v>1</v>
      </c>
      <c r="C104" s="12">
        <f>11911.5+12705.6+0.13</f>
        <v>24617.23</v>
      </c>
      <c r="D104" s="13">
        <v>0</v>
      </c>
      <c r="E104" s="13">
        <v>0</v>
      </c>
      <c r="F104" s="13">
        <v>0</v>
      </c>
      <c r="G104" s="12">
        <f>0.03+11911.5</f>
        <v>11911.53</v>
      </c>
    </row>
    <row r="105" spans="1:7" x14ac:dyDescent="0.3">
      <c r="A105" s="2">
        <v>3</v>
      </c>
      <c r="B105" s="6" t="s">
        <v>2</v>
      </c>
      <c r="C105" s="12">
        <f>11911.5+12705.6+0.07</f>
        <v>24617.17</v>
      </c>
      <c r="D105" s="13">
        <v>0</v>
      </c>
      <c r="E105" s="13">
        <v>0</v>
      </c>
      <c r="F105" s="13">
        <v>0</v>
      </c>
      <c r="G105" s="12">
        <f>11911.5+0</f>
        <v>11911.5</v>
      </c>
    </row>
    <row r="106" spans="1:7" x14ac:dyDescent="0.3">
      <c r="A106" s="2">
        <v>4</v>
      </c>
      <c r="B106" s="6" t="s">
        <v>3</v>
      </c>
      <c r="C106" s="12">
        <f>8613.12+8074.8+0.12+0.15</f>
        <v>16688.190000000002</v>
      </c>
      <c r="D106" s="13">
        <v>0</v>
      </c>
      <c r="E106" s="13">
        <v>0</v>
      </c>
      <c r="F106" s="13">
        <v>0</v>
      </c>
      <c r="G106" s="12">
        <v>4048.46</v>
      </c>
    </row>
    <row r="107" spans="1:7" ht="18" x14ac:dyDescent="0.35">
      <c r="A107" s="1"/>
      <c r="B107" s="7" t="s">
        <v>10</v>
      </c>
      <c r="C107" s="8">
        <f>SUM(C103:C106)</f>
        <v>103779.59</v>
      </c>
      <c r="D107" s="8">
        <f>SUM(D103:D106)</f>
        <v>0</v>
      </c>
      <c r="E107" s="8">
        <f>SUM(E103:E106)</f>
        <v>0</v>
      </c>
      <c r="F107" s="8">
        <f>SUM(F103:F106)</f>
        <v>0</v>
      </c>
      <c r="G107" s="8">
        <f>SUM(G103:G106)</f>
        <v>46189.34</v>
      </c>
    </row>
  </sheetData>
  <mergeCells count="24">
    <mergeCell ref="K81:P81"/>
    <mergeCell ref="K89:P89"/>
    <mergeCell ref="K42:P42"/>
    <mergeCell ref="K50:P50"/>
    <mergeCell ref="K57:P57"/>
    <mergeCell ref="K65:P65"/>
    <mergeCell ref="K73:P73"/>
    <mergeCell ref="K2:P2"/>
    <mergeCell ref="K10:P10"/>
    <mergeCell ref="K18:P18"/>
    <mergeCell ref="K26:P26"/>
    <mergeCell ref="K34:P34"/>
    <mergeCell ref="B101:G101"/>
    <mergeCell ref="B47:G47"/>
    <mergeCell ref="B2:G2"/>
    <mergeCell ref="B11:G11"/>
    <mergeCell ref="B20:G20"/>
    <mergeCell ref="B29:G29"/>
    <mergeCell ref="B38:G38"/>
    <mergeCell ref="B56:G56"/>
    <mergeCell ref="B65:G65"/>
    <mergeCell ref="B74:G74"/>
    <mergeCell ref="B83:G83"/>
    <mergeCell ref="B92:G9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D35C03-5B8C-4F38-9138-04DBAF80B988}">
  <sheetPr codeName="Hoja1"/>
  <dimension ref="A2:Z107"/>
  <sheetViews>
    <sheetView topLeftCell="M1" zoomScale="80" zoomScaleNormal="80" workbookViewId="0">
      <selection activeCell="Z7" sqref="Z7"/>
    </sheetView>
  </sheetViews>
  <sheetFormatPr baseColWidth="10" defaultColWidth="20.33203125" defaultRowHeight="14.4" x14ac:dyDescent="0.3"/>
  <cols>
    <col min="1" max="1" width="5.33203125" bestFit="1" customWidth="1"/>
    <col min="2" max="2" width="34" style="26" customWidth="1"/>
    <col min="3" max="3" width="20.33203125" style="4"/>
    <col min="4" max="4" width="17.33203125" customWidth="1"/>
    <col min="5" max="5" width="17.6640625" customWidth="1"/>
    <col min="7" max="7" width="18.33203125" customWidth="1"/>
    <col min="8" max="8" width="6.44140625" customWidth="1"/>
    <col min="9" max="9" width="7.33203125" customWidth="1"/>
    <col min="10" max="10" width="28.5546875" customWidth="1"/>
    <col min="16" max="16" width="7.44140625" customWidth="1"/>
    <col min="17" max="17" width="4.88671875" customWidth="1"/>
    <col min="18" max="18" width="27.5546875" customWidth="1"/>
    <col min="19" max="20" width="16.109375" customWidth="1"/>
    <col min="21" max="22" width="15.5546875" customWidth="1"/>
    <col min="23" max="23" width="11.44140625"/>
    <col min="24" max="24" width="14.6640625" customWidth="1"/>
    <col min="25" max="25" width="16.33203125" customWidth="1"/>
    <col min="26" max="26" width="20.33203125" style="4"/>
  </cols>
  <sheetData>
    <row r="2" spans="8:26" s="3" customFormat="1" ht="18.75" customHeight="1" x14ac:dyDescent="0.35">
      <c r="J2" s="30" t="s">
        <v>25</v>
      </c>
      <c r="K2" s="30"/>
      <c r="L2" s="30"/>
      <c r="M2" s="30"/>
      <c r="N2" s="30"/>
      <c r="O2" s="30"/>
      <c r="R2" s="30" t="s">
        <v>93</v>
      </c>
      <c r="S2" s="30"/>
      <c r="T2" s="30"/>
      <c r="U2" s="30"/>
      <c r="V2" s="30"/>
      <c r="W2" s="30"/>
      <c r="X2"/>
      <c r="Y2"/>
      <c r="Z2" s="16"/>
    </row>
    <row r="3" spans="8:26" ht="28.8" x14ac:dyDescent="0.3">
      <c r="I3" s="10" t="s">
        <v>11</v>
      </c>
      <c r="J3" s="23" t="s">
        <v>4</v>
      </c>
      <c r="K3" s="14" t="s">
        <v>5</v>
      </c>
      <c r="L3" s="9" t="s">
        <v>6</v>
      </c>
      <c r="M3" s="9" t="s">
        <v>7</v>
      </c>
      <c r="N3" s="9" t="s">
        <v>8</v>
      </c>
      <c r="O3" s="9" t="s">
        <v>9</v>
      </c>
      <c r="Q3" s="10" t="s">
        <v>11</v>
      </c>
      <c r="R3" s="9" t="s">
        <v>4</v>
      </c>
      <c r="S3" s="23" t="s">
        <v>5</v>
      </c>
      <c r="T3" s="23" t="s">
        <v>54</v>
      </c>
      <c r="U3" s="23" t="s">
        <v>55</v>
      </c>
      <c r="V3" s="23" t="s">
        <v>57</v>
      </c>
      <c r="W3" s="23" t="s">
        <v>56</v>
      </c>
      <c r="X3" s="23" t="s">
        <v>58</v>
      </c>
      <c r="Y3" s="23" t="s">
        <v>59</v>
      </c>
    </row>
    <row r="4" spans="8:26" x14ac:dyDescent="0.3">
      <c r="I4" s="2">
        <v>1</v>
      </c>
      <c r="J4" s="25" t="s">
        <v>0</v>
      </c>
      <c r="K4" s="12">
        <f>18317.85+19539.04+0.03</f>
        <v>37856.92</v>
      </c>
      <c r="L4" s="13">
        <v>0</v>
      </c>
      <c r="M4" s="13">
        <v>0</v>
      </c>
      <c r="N4" s="13">
        <v>0</v>
      </c>
      <c r="O4" s="13">
        <v>0</v>
      </c>
      <c r="Q4" s="2">
        <v>1</v>
      </c>
      <c r="R4" s="6" t="s">
        <v>0</v>
      </c>
      <c r="S4" s="12"/>
      <c r="T4" s="13">
        <f t="shared" ref="T4:T7" si="0">+S4</f>
        <v>0</v>
      </c>
      <c r="U4" s="12"/>
      <c r="V4" s="12"/>
      <c r="W4" s="12"/>
      <c r="X4" s="12">
        <f t="shared" ref="X4" si="1">+U4+V4+W4</f>
        <v>0</v>
      </c>
      <c r="Y4" s="12">
        <f t="shared" ref="Y4" si="2">+T4-X4</f>
        <v>0</v>
      </c>
    </row>
    <row r="5" spans="8:26" x14ac:dyDescent="0.3">
      <c r="I5" s="2">
        <v>2</v>
      </c>
      <c r="J5" s="25" t="s">
        <v>1</v>
      </c>
      <c r="K5" s="12">
        <f>12705.6+12387.9+0.13</f>
        <v>25093.63</v>
      </c>
      <c r="L5" s="13">
        <v>0</v>
      </c>
      <c r="M5" s="13">
        <v>0</v>
      </c>
      <c r="N5" s="13">
        <v>0</v>
      </c>
      <c r="O5" s="13">
        <v>0</v>
      </c>
      <c r="Q5" s="2">
        <v>2</v>
      </c>
      <c r="R5" s="6" t="s">
        <v>1</v>
      </c>
      <c r="S5" s="12"/>
      <c r="T5" s="13">
        <f>+S5</f>
        <v>0</v>
      </c>
      <c r="U5" s="12"/>
      <c r="V5" s="12"/>
      <c r="W5" s="12"/>
      <c r="X5" s="12">
        <f>+U5+V5+W5</f>
        <v>0</v>
      </c>
      <c r="Y5" s="12">
        <f>+T5-X5</f>
        <v>0</v>
      </c>
    </row>
    <row r="6" spans="8:26" x14ac:dyDescent="0.3">
      <c r="I6" s="2">
        <v>3</v>
      </c>
      <c r="J6" s="25" t="s">
        <v>2</v>
      </c>
      <c r="K6" s="12">
        <f>12705.6+11911.5+0.07</f>
        <v>24617.17</v>
      </c>
      <c r="L6" s="13">
        <v>0</v>
      </c>
      <c r="M6" s="13">
        <v>0</v>
      </c>
      <c r="N6" s="13">
        <v>0</v>
      </c>
      <c r="O6" s="13">
        <v>0</v>
      </c>
      <c r="Q6" s="2">
        <v>3</v>
      </c>
      <c r="R6" s="6" t="s">
        <v>2</v>
      </c>
      <c r="S6" s="12"/>
      <c r="T6" s="13">
        <f t="shared" si="0"/>
        <v>0</v>
      </c>
      <c r="U6" s="12"/>
      <c r="V6" s="12"/>
      <c r="W6" s="12"/>
      <c r="X6" s="12">
        <f t="shared" ref="X6:X7" si="3">+U6+V6+W6</f>
        <v>0</v>
      </c>
      <c r="Y6" s="12">
        <f t="shared" ref="Y6:Y7" si="4">+T6-X6</f>
        <v>0</v>
      </c>
    </row>
    <row r="7" spans="8:26" x14ac:dyDescent="0.3">
      <c r="I7" s="2">
        <v>4</v>
      </c>
      <c r="J7" s="25" t="s">
        <v>3</v>
      </c>
      <c r="K7" s="12">
        <f>9074.8+8613.12</f>
        <v>17687.919999999998</v>
      </c>
      <c r="L7" s="13">
        <v>0</v>
      </c>
      <c r="M7" s="13">
        <v>0</v>
      </c>
      <c r="N7" s="13">
        <v>0</v>
      </c>
      <c r="O7" s="13">
        <v>0</v>
      </c>
      <c r="Q7" s="2">
        <v>4</v>
      </c>
      <c r="R7" s="6" t="s">
        <v>3</v>
      </c>
      <c r="S7" s="12">
        <f>8613.12+8074.8</f>
        <v>16687.920000000002</v>
      </c>
      <c r="T7" s="13">
        <f t="shared" si="0"/>
        <v>16687.920000000002</v>
      </c>
      <c r="U7" s="12">
        <f>1292.5+1177.51</f>
        <v>2470.0100000000002</v>
      </c>
      <c r="V7" s="12">
        <f>220.62+235.34</f>
        <v>455.96000000000004</v>
      </c>
      <c r="W7" s="12">
        <f>0.07+0.08</f>
        <v>0.15000000000000002</v>
      </c>
      <c r="X7" s="12">
        <f t="shared" si="3"/>
        <v>2926.1200000000003</v>
      </c>
      <c r="Y7" s="12">
        <f t="shared" si="4"/>
        <v>13761.800000000001</v>
      </c>
    </row>
    <row r="8" spans="8:26" ht="18" x14ac:dyDescent="0.35">
      <c r="I8" s="1"/>
      <c r="J8" s="7" t="s">
        <v>10</v>
      </c>
      <c r="K8" s="15">
        <f>SUM(K4:K7)</f>
        <v>105255.64</v>
      </c>
      <c r="L8" s="15">
        <f t="shared" ref="L8:O8" si="5">SUM(L4:L7)</f>
        <v>0</v>
      </c>
      <c r="M8" s="15">
        <f t="shared" si="5"/>
        <v>0</v>
      </c>
      <c r="N8" s="15">
        <f t="shared" si="5"/>
        <v>0</v>
      </c>
      <c r="O8" s="15">
        <f t="shared" si="5"/>
        <v>0</v>
      </c>
      <c r="Q8" s="1"/>
      <c r="R8" s="7" t="s">
        <v>10</v>
      </c>
      <c r="S8" s="8">
        <f>SUM(S4:S7)</f>
        <v>16687.920000000002</v>
      </c>
      <c r="T8" s="8">
        <f t="shared" ref="T8:Y8" si="6">SUM(T4:T7)</f>
        <v>16687.920000000002</v>
      </c>
      <c r="U8" s="8">
        <f t="shared" si="6"/>
        <v>2470.0100000000002</v>
      </c>
      <c r="V8" s="8">
        <f t="shared" si="6"/>
        <v>455.96000000000004</v>
      </c>
      <c r="W8" s="8">
        <f t="shared" si="6"/>
        <v>0.15000000000000002</v>
      </c>
      <c r="X8" s="8">
        <f t="shared" si="6"/>
        <v>2926.1200000000003</v>
      </c>
      <c r="Y8" s="8">
        <f t="shared" si="6"/>
        <v>13761.800000000001</v>
      </c>
    </row>
    <row r="9" spans="8:26" x14ac:dyDescent="0.3">
      <c r="J9" s="26"/>
      <c r="K9" s="4"/>
    </row>
    <row r="10" spans="8:26" ht="18" x14ac:dyDescent="0.35">
      <c r="J10" s="26"/>
      <c r="K10" s="16"/>
      <c r="Q10" s="3"/>
      <c r="R10" s="30" t="s">
        <v>94</v>
      </c>
      <c r="S10" s="30"/>
      <c r="T10" s="30"/>
      <c r="U10" s="30"/>
      <c r="V10" s="30"/>
      <c r="W10" s="30"/>
    </row>
    <row r="11" spans="8:26" ht="29.4" x14ac:dyDescent="0.35">
      <c r="I11" s="3"/>
      <c r="J11" s="30" t="s">
        <v>26</v>
      </c>
      <c r="K11" s="30"/>
      <c r="L11" s="30"/>
      <c r="M11" s="30"/>
      <c r="N11" s="30"/>
      <c r="O11" s="30"/>
      <c r="Q11" s="10" t="s">
        <v>11</v>
      </c>
      <c r="R11" s="9" t="s">
        <v>4</v>
      </c>
      <c r="S11" s="23" t="s">
        <v>5</v>
      </c>
      <c r="T11" s="23" t="s">
        <v>54</v>
      </c>
      <c r="U11" s="23" t="s">
        <v>55</v>
      </c>
      <c r="V11" s="23" t="s">
        <v>57</v>
      </c>
      <c r="W11" s="23" t="s">
        <v>56</v>
      </c>
      <c r="X11" s="23" t="s">
        <v>58</v>
      </c>
      <c r="Y11" s="23" t="s">
        <v>59</v>
      </c>
    </row>
    <row r="12" spans="8:26" ht="28.8" x14ac:dyDescent="0.3">
      <c r="I12" s="10" t="s">
        <v>11</v>
      </c>
      <c r="J12" s="23" t="s">
        <v>4</v>
      </c>
      <c r="K12" s="14" t="s">
        <v>5</v>
      </c>
      <c r="L12" s="9" t="s">
        <v>6</v>
      </c>
      <c r="M12" s="9" t="s">
        <v>7</v>
      </c>
      <c r="N12" s="9" t="s">
        <v>8</v>
      </c>
      <c r="O12" s="9" t="s">
        <v>9</v>
      </c>
      <c r="Q12" s="2">
        <v>1</v>
      </c>
      <c r="R12" s="6" t="s">
        <v>0</v>
      </c>
      <c r="S12" s="12"/>
      <c r="T12" s="13">
        <f t="shared" ref="T12:T15" si="7">+S12</f>
        <v>0</v>
      </c>
      <c r="U12" s="12"/>
      <c r="V12" s="12"/>
      <c r="W12" s="12"/>
      <c r="X12" s="12">
        <f t="shared" ref="X12" si="8">+U12+V12+W12</f>
        <v>0</v>
      </c>
      <c r="Y12" s="12">
        <f t="shared" ref="Y12" si="9">+T12-X12</f>
        <v>0</v>
      </c>
    </row>
    <row r="13" spans="8:26" x14ac:dyDescent="0.3">
      <c r="I13" s="2">
        <v>1</v>
      </c>
      <c r="J13" s="25" t="s">
        <v>0</v>
      </c>
      <c r="K13" s="12">
        <f>19061.7+15701.14+0.03+0.05+0.04</f>
        <v>34762.959999999999</v>
      </c>
      <c r="L13" s="13">
        <v>0</v>
      </c>
      <c r="M13" s="13">
        <v>0</v>
      </c>
      <c r="N13" s="13">
        <v>0</v>
      </c>
      <c r="O13" s="13">
        <v>0</v>
      </c>
      <c r="Q13" s="2">
        <v>2</v>
      </c>
      <c r="R13" s="6" t="s">
        <v>1</v>
      </c>
      <c r="S13" s="12"/>
      <c r="T13" s="13">
        <f>+S13</f>
        <v>0</v>
      </c>
      <c r="U13" s="12"/>
      <c r="V13" s="12"/>
      <c r="W13" s="12"/>
      <c r="X13" s="12">
        <f>+U13+V13+W13</f>
        <v>0</v>
      </c>
      <c r="Y13" s="12">
        <f>+T13-X13</f>
        <v>0</v>
      </c>
    </row>
    <row r="14" spans="8:26" x14ac:dyDescent="0.3">
      <c r="H14" s="27"/>
      <c r="I14" s="2">
        <v>2</v>
      </c>
      <c r="J14" s="25" t="s">
        <v>1</v>
      </c>
      <c r="K14" s="12">
        <f>12387.9+10736.18+0.03</f>
        <v>23124.11</v>
      </c>
      <c r="L14" s="13">
        <v>0</v>
      </c>
      <c r="M14" s="13">
        <v>0</v>
      </c>
      <c r="N14" s="13">
        <v>0</v>
      </c>
      <c r="O14" s="13">
        <v>0</v>
      </c>
      <c r="Q14" s="2">
        <v>3</v>
      </c>
      <c r="R14" s="6" t="s">
        <v>2</v>
      </c>
      <c r="S14" s="12"/>
      <c r="T14" s="13">
        <f t="shared" si="7"/>
        <v>0</v>
      </c>
      <c r="U14" s="12"/>
      <c r="V14" s="12"/>
      <c r="W14" s="12"/>
      <c r="X14" s="12">
        <f t="shared" ref="X14:X15" si="10">+U14+V14+W14</f>
        <v>0</v>
      </c>
      <c r="Y14" s="12">
        <f t="shared" ref="Y14:Y15" si="11">+T14-X14</f>
        <v>0</v>
      </c>
    </row>
    <row r="15" spans="8:26" x14ac:dyDescent="0.3">
      <c r="I15" s="2">
        <v>3</v>
      </c>
      <c r="J15" s="25" t="s">
        <v>2</v>
      </c>
      <c r="K15" s="12">
        <f>10736.18+12387.9+0.03</f>
        <v>23124.11</v>
      </c>
      <c r="L15" s="13">
        <v>0</v>
      </c>
      <c r="M15" s="13">
        <v>0</v>
      </c>
      <c r="N15" s="13">
        <v>0</v>
      </c>
      <c r="O15" s="13">
        <v>0</v>
      </c>
      <c r="Q15" s="2">
        <v>4</v>
      </c>
      <c r="R15" s="6" t="s">
        <v>3</v>
      </c>
      <c r="S15" s="12">
        <f>7278.1+8397.75</f>
        <v>15675.85</v>
      </c>
      <c r="T15" s="13">
        <f t="shared" si="7"/>
        <v>15675.85</v>
      </c>
      <c r="U15" s="12">
        <f>1246.5+1007.32</f>
        <v>2253.8200000000002</v>
      </c>
      <c r="V15" s="12">
        <f>240.2+208.18</f>
        <v>448.38</v>
      </c>
      <c r="W15" s="12">
        <v>0.05</v>
      </c>
      <c r="X15" s="12">
        <f t="shared" si="10"/>
        <v>2702.2500000000005</v>
      </c>
      <c r="Y15" s="12">
        <f t="shared" si="11"/>
        <v>12973.6</v>
      </c>
    </row>
    <row r="16" spans="8:26" ht="18" x14ac:dyDescent="0.35">
      <c r="I16" s="2">
        <v>4</v>
      </c>
      <c r="J16" s="25" t="s">
        <v>3</v>
      </c>
      <c r="K16" s="12">
        <f>7278.01+8397.75+0.09</f>
        <v>15675.85</v>
      </c>
      <c r="L16" s="13">
        <v>0</v>
      </c>
      <c r="M16" s="13">
        <v>0</v>
      </c>
      <c r="N16" s="13">
        <v>0</v>
      </c>
      <c r="O16" s="13">
        <v>0</v>
      </c>
      <c r="Q16" s="1"/>
      <c r="R16" s="7" t="s">
        <v>10</v>
      </c>
      <c r="S16" s="8">
        <f>SUM(S12:S15)</f>
        <v>15675.85</v>
      </c>
      <c r="T16" s="8">
        <f t="shared" ref="T16:Y16" si="12">SUM(T12:T15)</f>
        <v>15675.85</v>
      </c>
      <c r="U16" s="8">
        <f t="shared" si="12"/>
        <v>2253.8200000000002</v>
      </c>
      <c r="V16" s="8">
        <f t="shared" si="12"/>
        <v>448.38</v>
      </c>
      <c r="W16" s="8">
        <f t="shared" si="12"/>
        <v>0.05</v>
      </c>
      <c r="X16" s="8">
        <f t="shared" si="12"/>
        <v>2702.2500000000005</v>
      </c>
      <c r="Y16" s="8">
        <f t="shared" si="12"/>
        <v>12973.6</v>
      </c>
    </row>
    <row r="17" spans="9:25" ht="18" x14ac:dyDescent="0.35">
      <c r="I17" s="1"/>
      <c r="J17" s="7" t="s">
        <v>10</v>
      </c>
      <c r="K17" s="15">
        <f>SUM(K13:K16)</f>
        <v>96687.03</v>
      </c>
      <c r="L17" s="15">
        <f t="shared" ref="L17:O17" si="13">SUM(L13:L16)</f>
        <v>0</v>
      </c>
      <c r="M17" s="15">
        <f t="shared" si="13"/>
        <v>0</v>
      </c>
      <c r="N17" s="15">
        <f t="shared" si="13"/>
        <v>0</v>
      </c>
      <c r="O17" s="15">
        <f t="shared" si="13"/>
        <v>0</v>
      </c>
    </row>
    <row r="18" spans="9:25" ht="18" x14ac:dyDescent="0.35">
      <c r="J18" s="26"/>
      <c r="K18" s="4"/>
      <c r="Q18" s="3"/>
      <c r="R18" s="30" t="s">
        <v>95</v>
      </c>
      <c r="S18" s="30"/>
      <c r="T18" s="30"/>
      <c r="U18" s="30"/>
      <c r="V18" s="30"/>
      <c r="W18" s="30"/>
    </row>
    <row r="19" spans="9:25" ht="28.8" x14ac:dyDescent="0.3">
      <c r="J19" s="26"/>
      <c r="K19" s="4"/>
      <c r="Q19" s="10" t="s">
        <v>11</v>
      </c>
      <c r="R19" s="9" t="s">
        <v>4</v>
      </c>
      <c r="S19" s="23" t="s">
        <v>5</v>
      </c>
      <c r="T19" s="23" t="s">
        <v>54</v>
      </c>
      <c r="U19" s="23" t="s">
        <v>55</v>
      </c>
      <c r="V19" s="23" t="s">
        <v>57</v>
      </c>
      <c r="W19" s="23" t="s">
        <v>56</v>
      </c>
      <c r="X19" s="23" t="s">
        <v>58</v>
      </c>
      <c r="Y19" s="23" t="s">
        <v>59</v>
      </c>
    </row>
    <row r="20" spans="9:25" ht="18" x14ac:dyDescent="0.35">
      <c r="I20" s="3"/>
      <c r="J20" s="30" t="s">
        <v>27</v>
      </c>
      <c r="K20" s="30"/>
      <c r="L20" s="30"/>
      <c r="M20" s="30"/>
      <c r="N20" s="30"/>
      <c r="O20" s="30"/>
      <c r="Q20" s="2">
        <v>1</v>
      </c>
      <c r="R20" s="6" t="s">
        <v>0</v>
      </c>
      <c r="S20" s="12"/>
      <c r="T20" s="13">
        <f t="shared" ref="T20:T23" si="14">+S20</f>
        <v>0</v>
      </c>
      <c r="U20" s="12"/>
      <c r="V20" s="12"/>
      <c r="W20" s="12"/>
      <c r="X20" s="12">
        <f t="shared" ref="X20:X23" si="15">+U20+V20+W20</f>
        <v>0</v>
      </c>
      <c r="Y20" s="12">
        <f t="shared" ref="Y20:Y23" si="16">+T20-X20</f>
        <v>0</v>
      </c>
    </row>
    <row r="21" spans="9:25" ht="28.8" x14ac:dyDescent="0.3">
      <c r="I21" s="10" t="s">
        <v>11</v>
      </c>
      <c r="J21" s="23" t="s">
        <v>4</v>
      </c>
      <c r="K21" s="14" t="s">
        <v>5</v>
      </c>
      <c r="L21" s="9" t="s">
        <v>6</v>
      </c>
      <c r="M21" s="9" t="s">
        <v>7</v>
      </c>
      <c r="N21" s="9" t="s">
        <v>8</v>
      </c>
      <c r="O21" s="9" t="s">
        <v>9</v>
      </c>
      <c r="Q21" s="2">
        <v>2</v>
      </c>
      <c r="R21" s="6" t="s">
        <v>1</v>
      </c>
      <c r="S21" s="12"/>
      <c r="T21" s="13">
        <f>+S21</f>
        <v>0</v>
      </c>
      <c r="U21" s="12"/>
      <c r="V21" s="12"/>
      <c r="W21" s="12"/>
      <c r="X21" s="12">
        <f>+U21+V21+W21</f>
        <v>0</v>
      </c>
      <c r="Y21" s="12">
        <f>+T21-X21</f>
        <v>0</v>
      </c>
    </row>
    <row r="22" spans="9:25" x14ac:dyDescent="0.3">
      <c r="I22" s="2">
        <v>1</v>
      </c>
      <c r="J22" s="25" t="s">
        <v>0</v>
      </c>
      <c r="K22" s="12">
        <f>20332.48+19061.7+0.07</f>
        <v>39394.25</v>
      </c>
      <c r="L22" s="13">
        <v>0</v>
      </c>
      <c r="M22" s="13">
        <v>0</v>
      </c>
      <c r="N22" s="13">
        <v>0</v>
      </c>
      <c r="O22" s="13">
        <v>0</v>
      </c>
      <c r="Q22" s="2">
        <v>3</v>
      </c>
      <c r="R22" s="6" t="s">
        <v>2</v>
      </c>
      <c r="S22" s="12"/>
      <c r="T22" s="13">
        <f t="shared" si="14"/>
        <v>0</v>
      </c>
      <c r="U22" s="12"/>
      <c r="V22" s="12"/>
      <c r="W22" s="12"/>
      <c r="X22" s="12">
        <f t="shared" si="15"/>
        <v>0</v>
      </c>
      <c r="Y22" s="12">
        <f t="shared" si="16"/>
        <v>0</v>
      </c>
    </row>
    <row r="23" spans="9:25" x14ac:dyDescent="0.3">
      <c r="I23" s="2">
        <v>2</v>
      </c>
      <c r="J23" s="25" t="s">
        <v>1</v>
      </c>
      <c r="K23" s="12">
        <f>13213.76+12387.9+0.02</f>
        <v>25601.68</v>
      </c>
      <c r="L23" s="13">
        <v>0</v>
      </c>
      <c r="M23" s="13">
        <v>0</v>
      </c>
      <c r="N23" s="13">
        <v>0</v>
      </c>
      <c r="O23" s="13">
        <v>0</v>
      </c>
      <c r="Q23" s="2">
        <v>4</v>
      </c>
      <c r="R23" s="6" t="s">
        <v>3</v>
      </c>
      <c r="S23" s="12">
        <f>8397.75+8957.7</f>
        <v>17355.45</v>
      </c>
      <c r="T23" s="13">
        <f t="shared" si="14"/>
        <v>17355.45</v>
      </c>
      <c r="U23" s="12">
        <f>1366.08+1246.5</f>
        <v>2612.58</v>
      </c>
      <c r="V23" s="12">
        <f>240.2+256.22</f>
        <v>496.42</v>
      </c>
      <c r="W23" s="12">
        <v>0.05</v>
      </c>
      <c r="X23" s="12">
        <f t="shared" si="15"/>
        <v>3109.05</v>
      </c>
      <c r="Y23" s="12">
        <f t="shared" si="16"/>
        <v>14246.400000000001</v>
      </c>
    </row>
    <row r="24" spans="9:25" ht="18" x14ac:dyDescent="0.35">
      <c r="I24" s="2">
        <v>3</v>
      </c>
      <c r="J24" s="25" t="s">
        <v>2</v>
      </c>
      <c r="K24" s="12">
        <f>13213.76+12387.9+0.02</f>
        <v>25601.68</v>
      </c>
      <c r="L24" s="13">
        <v>0</v>
      </c>
      <c r="M24" s="13">
        <v>0</v>
      </c>
      <c r="N24" s="13">
        <v>0</v>
      </c>
      <c r="O24" s="13">
        <v>0</v>
      </c>
      <c r="Q24" s="1"/>
      <c r="R24" s="7" t="s">
        <v>10</v>
      </c>
      <c r="S24" s="8">
        <f>SUM(S20:S23)</f>
        <v>17355.45</v>
      </c>
      <c r="T24" s="8">
        <f t="shared" ref="T24:Y24" si="17">SUM(T20:T23)</f>
        <v>17355.45</v>
      </c>
      <c r="U24" s="8">
        <f t="shared" si="17"/>
        <v>2612.58</v>
      </c>
      <c r="V24" s="8">
        <f t="shared" si="17"/>
        <v>496.42</v>
      </c>
      <c r="W24" s="8">
        <f t="shared" si="17"/>
        <v>0.05</v>
      </c>
      <c r="X24" s="8">
        <f t="shared" si="17"/>
        <v>3109.05</v>
      </c>
      <c r="Y24" s="8">
        <f t="shared" si="17"/>
        <v>14246.400000000001</v>
      </c>
    </row>
    <row r="25" spans="9:25" x14ac:dyDescent="0.3">
      <c r="I25" s="2">
        <v>4</v>
      </c>
      <c r="J25" s="25" t="s">
        <v>3</v>
      </c>
      <c r="K25" s="12">
        <f>8957.6+8307.75+0.1</f>
        <v>17265.449999999997</v>
      </c>
      <c r="L25" s="13">
        <v>0</v>
      </c>
      <c r="M25" s="13">
        <v>0</v>
      </c>
      <c r="N25" s="13">
        <v>0</v>
      </c>
      <c r="O25" s="13">
        <v>0</v>
      </c>
    </row>
    <row r="26" spans="9:25" ht="18" x14ac:dyDescent="0.35">
      <c r="I26" s="1"/>
      <c r="J26" s="7" t="s">
        <v>10</v>
      </c>
      <c r="K26" s="15">
        <f>SUM(K22:K25)</f>
        <v>107863.06</v>
      </c>
      <c r="L26" s="15">
        <f t="shared" ref="L26:O26" si="18">SUM(L22:L25)</f>
        <v>0</v>
      </c>
      <c r="M26" s="15">
        <f t="shared" si="18"/>
        <v>0</v>
      </c>
      <c r="N26" s="15">
        <f t="shared" si="18"/>
        <v>0</v>
      </c>
      <c r="O26" s="15">
        <f t="shared" si="18"/>
        <v>0</v>
      </c>
      <c r="Q26" s="3"/>
      <c r="R26" s="30" t="s">
        <v>96</v>
      </c>
      <c r="S26" s="30"/>
      <c r="T26" s="30"/>
      <c r="U26" s="30"/>
      <c r="V26" s="30"/>
      <c r="W26" s="30"/>
    </row>
    <row r="27" spans="9:25" ht="28.8" x14ac:dyDescent="0.3">
      <c r="Q27" s="10" t="s">
        <v>11</v>
      </c>
      <c r="R27" s="9" t="s">
        <v>4</v>
      </c>
      <c r="S27" s="23" t="s">
        <v>5</v>
      </c>
      <c r="T27" s="23" t="s">
        <v>54</v>
      </c>
      <c r="U27" s="23" t="s">
        <v>55</v>
      </c>
      <c r="V27" s="23" t="s">
        <v>57</v>
      </c>
      <c r="W27" s="23" t="s">
        <v>56</v>
      </c>
      <c r="X27" s="23" t="s">
        <v>58</v>
      </c>
      <c r="Y27" s="23" t="s">
        <v>59</v>
      </c>
    </row>
    <row r="28" spans="9:25" x14ac:dyDescent="0.3">
      <c r="Q28" s="2">
        <v>1</v>
      </c>
      <c r="R28" s="6" t="s">
        <v>0</v>
      </c>
      <c r="S28" s="12"/>
      <c r="T28" s="13">
        <f t="shared" ref="T28:T31" si="19">+S28</f>
        <v>0</v>
      </c>
      <c r="U28" s="12"/>
      <c r="V28" s="12"/>
      <c r="W28" s="12"/>
      <c r="X28" s="12">
        <f t="shared" ref="X28" si="20">+U28+V28+W28</f>
        <v>0</v>
      </c>
      <c r="Y28" s="12">
        <f t="shared" ref="Y28" si="21">+T28-X28</f>
        <v>0</v>
      </c>
    </row>
    <row r="29" spans="9:25" ht="18.75" customHeight="1" x14ac:dyDescent="0.35">
      <c r="I29" s="3"/>
      <c r="J29" s="30" t="s">
        <v>28</v>
      </c>
      <c r="K29" s="30"/>
      <c r="L29" s="30"/>
      <c r="M29" s="30"/>
      <c r="N29" s="30"/>
      <c r="O29" s="30"/>
      <c r="Q29" s="2">
        <v>2</v>
      </c>
      <c r="R29" s="6" t="s">
        <v>1</v>
      </c>
      <c r="S29" s="12"/>
      <c r="T29" s="13">
        <f>+S29</f>
        <v>0</v>
      </c>
      <c r="U29" s="12"/>
      <c r="V29" s="12"/>
      <c r="W29" s="12"/>
      <c r="X29" s="12">
        <f>+U29+V29+W29</f>
        <v>0</v>
      </c>
      <c r="Y29" s="12">
        <f>+T29-X29</f>
        <v>0</v>
      </c>
    </row>
    <row r="30" spans="9:25" ht="28.8" x14ac:dyDescent="0.3">
      <c r="I30" s="10" t="s">
        <v>11</v>
      </c>
      <c r="J30" s="23" t="s">
        <v>4</v>
      </c>
      <c r="K30" s="14" t="s">
        <v>5</v>
      </c>
      <c r="L30" s="9" t="s">
        <v>6</v>
      </c>
      <c r="M30" s="9" t="s">
        <v>7</v>
      </c>
      <c r="N30" s="9" t="s">
        <v>8</v>
      </c>
      <c r="O30" s="9" t="s">
        <v>9</v>
      </c>
      <c r="Q30" s="2">
        <v>3</v>
      </c>
      <c r="R30" s="6" t="s">
        <v>2</v>
      </c>
      <c r="S30" s="12"/>
      <c r="T30" s="13">
        <f t="shared" si="19"/>
        <v>0</v>
      </c>
      <c r="U30" s="12"/>
      <c r="V30" s="12"/>
      <c r="W30" s="12"/>
      <c r="X30" s="12">
        <f t="shared" ref="X30:X31" si="22">+U30+V30+W30</f>
        <v>0</v>
      </c>
      <c r="Y30" s="12">
        <f t="shared" ref="Y30:Y31" si="23">+T30-X30</f>
        <v>0</v>
      </c>
    </row>
    <row r="31" spans="9:25" x14ac:dyDescent="0.3">
      <c r="I31" s="2">
        <v>1</v>
      </c>
      <c r="J31" s="25" t="s">
        <v>0</v>
      </c>
      <c r="K31" s="12">
        <f>19061.7+19061.7+0.05+0.05</f>
        <v>38123.500000000007</v>
      </c>
      <c r="L31" s="13">
        <v>0</v>
      </c>
      <c r="M31" s="13">
        <v>0</v>
      </c>
      <c r="N31" s="13">
        <v>0</v>
      </c>
      <c r="O31" s="13">
        <v>0</v>
      </c>
      <c r="Q31" s="2">
        <v>4</v>
      </c>
      <c r="R31" s="6" t="s">
        <v>3</v>
      </c>
      <c r="S31" s="12">
        <f>8397.75+8397.75</f>
        <v>16795.5</v>
      </c>
      <c r="T31" s="13">
        <f t="shared" si="19"/>
        <v>16795.5</v>
      </c>
      <c r="U31" s="12">
        <f>1246.5+1246.5</f>
        <v>2493</v>
      </c>
      <c r="V31" s="12">
        <f>240.2+240.2</f>
        <v>480.4</v>
      </c>
      <c r="W31" s="12">
        <f>0.05+0.05</f>
        <v>0.1</v>
      </c>
      <c r="X31" s="12">
        <f t="shared" si="22"/>
        <v>2973.5</v>
      </c>
      <c r="Y31" s="12">
        <f t="shared" si="23"/>
        <v>13822</v>
      </c>
    </row>
    <row r="32" spans="9:25" ht="18" x14ac:dyDescent="0.35">
      <c r="I32" s="2">
        <v>2</v>
      </c>
      <c r="J32" s="25" t="s">
        <v>1</v>
      </c>
      <c r="K32" s="12">
        <f>12387.9+12387.9</f>
        <v>24775.8</v>
      </c>
      <c r="L32" s="13">
        <v>0</v>
      </c>
      <c r="M32" s="13">
        <v>0</v>
      </c>
      <c r="N32" s="13">
        <v>0</v>
      </c>
      <c r="O32" s="13">
        <v>0</v>
      </c>
      <c r="Q32" s="1"/>
      <c r="R32" s="7" t="s">
        <v>10</v>
      </c>
      <c r="S32" s="8">
        <f>SUM(S28:S31)</f>
        <v>16795.5</v>
      </c>
      <c r="T32" s="8">
        <f t="shared" ref="T32:Y32" si="24">SUM(T28:T31)</f>
        <v>16795.5</v>
      </c>
      <c r="U32" s="8">
        <f t="shared" si="24"/>
        <v>2493</v>
      </c>
      <c r="V32" s="8">
        <f t="shared" si="24"/>
        <v>480.4</v>
      </c>
      <c r="W32" s="8">
        <f t="shared" si="24"/>
        <v>0.1</v>
      </c>
      <c r="X32" s="8">
        <f t="shared" si="24"/>
        <v>2973.5</v>
      </c>
      <c r="Y32" s="8">
        <f t="shared" si="24"/>
        <v>13822</v>
      </c>
    </row>
    <row r="33" spans="1:25" x14ac:dyDescent="0.3">
      <c r="I33" s="2">
        <v>3</v>
      </c>
      <c r="J33" s="25" t="s">
        <v>2</v>
      </c>
      <c r="K33" s="12">
        <f>12387.9+12387.9+0.15</f>
        <v>24775.95</v>
      </c>
      <c r="L33" s="13">
        <v>0</v>
      </c>
      <c r="M33" s="13">
        <v>0</v>
      </c>
      <c r="N33" s="13">
        <v>0</v>
      </c>
      <c r="O33" s="13">
        <v>0</v>
      </c>
    </row>
    <row r="34" spans="1:25" ht="18" x14ac:dyDescent="0.35">
      <c r="I34" s="2">
        <v>4</v>
      </c>
      <c r="J34" s="25" t="s">
        <v>3</v>
      </c>
      <c r="K34" s="12">
        <f>8397.75+8397.75</f>
        <v>16795.5</v>
      </c>
      <c r="L34" s="13">
        <v>0</v>
      </c>
      <c r="M34" s="13">
        <v>0</v>
      </c>
      <c r="N34" s="13">
        <v>0</v>
      </c>
      <c r="O34" s="13">
        <v>0</v>
      </c>
      <c r="Q34" s="3"/>
      <c r="R34" s="30" t="s">
        <v>97</v>
      </c>
      <c r="S34" s="30"/>
      <c r="T34" s="30"/>
      <c r="U34" s="30"/>
      <c r="V34" s="30"/>
      <c r="W34" s="30"/>
    </row>
    <row r="35" spans="1:25" ht="29.4" x14ac:dyDescent="0.35">
      <c r="I35" s="1"/>
      <c r="J35" s="7" t="s">
        <v>10</v>
      </c>
      <c r="K35" s="15">
        <f>SUM(K31:K34)</f>
        <v>104470.75</v>
      </c>
      <c r="L35" s="15">
        <f t="shared" ref="L35:M35" si="25">SUM(L31:L34)</f>
        <v>0</v>
      </c>
      <c r="M35" s="15">
        <f t="shared" si="25"/>
        <v>0</v>
      </c>
      <c r="N35" s="15">
        <f>SUM(N31:N34)</f>
        <v>0</v>
      </c>
      <c r="O35" s="15">
        <f>SUM(O31:O34)</f>
        <v>0</v>
      </c>
      <c r="Q35" s="10" t="s">
        <v>11</v>
      </c>
      <c r="R35" s="9" t="s">
        <v>4</v>
      </c>
      <c r="S35" s="23" t="s">
        <v>5</v>
      </c>
      <c r="T35" s="23" t="s">
        <v>54</v>
      </c>
      <c r="U35" s="23" t="s">
        <v>55</v>
      </c>
      <c r="V35" s="23" t="s">
        <v>57</v>
      </c>
      <c r="W35" s="23" t="s">
        <v>56</v>
      </c>
      <c r="X35" s="23" t="s">
        <v>58</v>
      </c>
      <c r="Y35" s="23" t="s">
        <v>59</v>
      </c>
    </row>
    <row r="36" spans="1:25" x14ac:dyDescent="0.3">
      <c r="Q36" s="2">
        <v>1</v>
      </c>
      <c r="R36" s="6" t="s">
        <v>0</v>
      </c>
      <c r="S36" s="12"/>
      <c r="T36" s="13">
        <f t="shared" ref="T36:T39" si="26">+S36</f>
        <v>0</v>
      </c>
      <c r="U36" s="12"/>
      <c r="V36" s="12"/>
      <c r="W36" s="12"/>
      <c r="X36" s="12">
        <f t="shared" ref="X36" si="27">+U36+V36+W36</f>
        <v>0</v>
      </c>
      <c r="Y36" s="12">
        <f t="shared" ref="Y36" si="28">+T36-X36</f>
        <v>0</v>
      </c>
    </row>
    <row r="37" spans="1:25" x14ac:dyDescent="0.3">
      <c r="Q37" s="2">
        <v>2</v>
      </c>
      <c r="R37" s="6" t="s">
        <v>1</v>
      </c>
      <c r="S37" s="12"/>
      <c r="T37" s="13">
        <f>+S37</f>
        <v>0</v>
      </c>
      <c r="U37" s="12"/>
      <c r="V37" s="12"/>
      <c r="W37" s="12"/>
      <c r="X37" s="12">
        <f>+U37+V37+W37</f>
        <v>0</v>
      </c>
      <c r="Y37" s="12">
        <f>+T37-X37</f>
        <v>0</v>
      </c>
    </row>
    <row r="38" spans="1:25" ht="18" x14ac:dyDescent="0.35">
      <c r="A38" s="3"/>
      <c r="B38" s="30" t="s">
        <v>29</v>
      </c>
      <c r="C38" s="30"/>
      <c r="D38" s="30"/>
      <c r="E38" s="30"/>
      <c r="F38" s="30"/>
      <c r="G38" s="30"/>
      <c r="Q38" s="2">
        <v>3</v>
      </c>
      <c r="R38" s="6" t="s">
        <v>2</v>
      </c>
      <c r="S38" s="12"/>
      <c r="T38" s="13">
        <f t="shared" si="26"/>
        <v>0</v>
      </c>
      <c r="U38" s="12"/>
      <c r="V38" s="12"/>
      <c r="W38" s="12"/>
      <c r="X38" s="12">
        <f t="shared" ref="X38:X39" si="29">+U38+V38+W38</f>
        <v>0</v>
      </c>
      <c r="Y38" s="12">
        <f t="shared" ref="Y38:Y39" si="30">+T38-X38</f>
        <v>0</v>
      </c>
    </row>
    <row r="39" spans="1:25" ht="28.8" x14ac:dyDescent="0.3">
      <c r="A39" s="10" t="s">
        <v>11</v>
      </c>
      <c r="B39" s="23" t="s">
        <v>4</v>
      </c>
      <c r="C39" s="14" t="s">
        <v>5</v>
      </c>
      <c r="D39" s="9" t="s">
        <v>6</v>
      </c>
      <c r="E39" s="9" t="s">
        <v>7</v>
      </c>
      <c r="F39" s="9" t="s">
        <v>8</v>
      </c>
      <c r="G39" s="9" t="s">
        <v>9</v>
      </c>
      <c r="Q39" s="2">
        <v>4</v>
      </c>
      <c r="R39" s="6" t="s">
        <v>3</v>
      </c>
      <c r="S39" s="12">
        <f>8957.6+8397.9</f>
        <v>17355.5</v>
      </c>
      <c r="T39" s="13">
        <f t="shared" si="26"/>
        <v>17355.5</v>
      </c>
      <c r="U39" s="12">
        <f>1246.5+1366.08</f>
        <v>2612.58</v>
      </c>
      <c r="V39" s="12">
        <f>240.2+256.22</f>
        <v>496.42</v>
      </c>
      <c r="W39" s="12">
        <v>0.1</v>
      </c>
      <c r="X39" s="12">
        <f t="shared" si="29"/>
        <v>3109.1</v>
      </c>
      <c r="Y39" s="12">
        <f t="shared" si="30"/>
        <v>14246.4</v>
      </c>
    </row>
    <row r="40" spans="1:25" ht="18" x14ac:dyDescent="0.35">
      <c r="A40" s="2">
        <v>1</v>
      </c>
      <c r="B40" s="25" t="s">
        <v>0</v>
      </c>
      <c r="C40" s="12">
        <f>20332.48+19061.7+0.07</f>
        <v>39394.25</v>
      </c>
      <c r="D40" s="13">
        <v>0</v>
      </c>
      <c r="E40" s="13">
        <v>0</v>
      </c>
      <c r="F40" s="13">
        <v>0</v>
      </c>
      <c r="G40" s="13">
        <v>0</v>
      </c>
      <c r="Q40" s="1"/>
      <c r="R40" s="7" t="s">
        <v>10</v>
      </c>
      <c r="S40" s="8">
        <f>SUM(S36:S39)</f>
        <v>17355.5</v>
      </c>
      <c r="T40" s="8">
        <f t="shared" ref="T40:Y40" si="31">SUM(T36:T39)</f>
        <v>17355.5</v>
      </c>
      <c r="U40" s="8">
        <f t="shared" si="31"/>
        <v>2612.58</v>
      </c>
      <c r="V40" s="8">
        <f t="shared" si="31"/>
        <v>496.42</v>
      </c>
      <c r="W40" s="8">
        <f t="shared" si="31"/>
        <v>0.1</v>
      </c>
      <c r="X40" s="8">
        <f t="shared" si="31"/>
        <v>3109.1</v>
      </c>
      <c r="Y40" s="8">
        <f t="shared" si="31"/>
        <v>14246.4</v>
      </c>
    </row>
    <row r="41" spans="1:25" x14ac:dyDescent="0.3">
      <c r="A41" s="2">
        <v>2</v>
      </c>
      <c r="B41" s="25" t="s">
        <v>1</v>
      </c>
      <c r="C41" s="12">
        <f>13213.76+12387.9+0.02+0.15</f>
        <v>25601.83</v>
      </c>
      <c r="D41" s="13">
        <v>0</v>
      </c>
      <c r="E41" s="13">
        <v>0</v>
      </c>
      <c r="F41" s="13">
        <v>0</v>
      </c>
      <c r="G41" s="13">
        <v>0</v>
      </c>
    </row>
    <row r="42" spans="1:25" ht="18" x14ac:dyDescent="0.35">
      <c r="A42" s="2">
        <v>3</v>
      </c>
      <c r="B42" s="25" t="s">
        <v>2</v>
      </c>
      <c r="C42" s="12">
        <f>13213.76+13287.9+0.02</f>
        <v>26501.68</v>
      </c>
      <c r="D42" s="13">
        <v>0</v>
      </c>
      <c r="E42" s="13">
        <v>0</v>
      </c>
      <c r="F42" s="13">
        <v>0</v>
      </c>
      <c r="G42" s="13">
        <v>0</v>
      </c>
      <c r="Q42" s="3"/>
      <c r="R42" s="30" t="s">
        <v>98</v>
      </c>
      <c r="S42" s="30"/>
      <c r="T42" s="30"/>
      <c r="U42" s="30"/>
      <c r="V42" s="30"/>
      <c r="W42" s="30"/>
    </row>
    <row r="43" spans="1:25" ht="28.8" x14ac:dyDescent="0.3">
      <c r="A43" s="2">
        <v>4</v>
      </c>
      <c r="B43" s="25" t="s">
        <v>3</v>
      </c>
      <c r="C43" s="12">
        <f>8957.6+8397.75+0.15</f>
        <v>17355.5</v>
      </c>
      <c r="D43" s="13">
        <v>0</v>
      </c>
      <c r="E43" s="13">
        <v>0</v>
      </c>
      <c r="F43" s="13">
        <v>0</v>
      </c>
      <c r="G43" s="13">
        <v>0</v>
      </c>
      <c r="Q43" s="10" t="s">
        <v>11</v>
      </c>
      <c r="R43" s="9" t="s">
        <v>4</v>
      </c>
      <c r="S43" s="23" t="s">
        <v>5</v>
      </c>
      <c r="T43" s="23" t="s">
        <v>54</v>
      </c>
      <c r="U43" s="23" t="s">
        <v>55</v>
      </c>
      <c r="V43" s="23" t="s">
        <v>57</v>
      </c>
      <c r="W43" s="23" t="s">
        <v>56</v>
      </c>
      <c r="X43" s="23" t="s">
        <v>58</v>
      </c>
      <c r="Y43" s="23" t="s">
        <v>59</v>
      </c>
    </row>
    <row r="44" spans="1:25" ht="18" x14ac:dyDescent="0.35">
      <c r="A44" s="1"/>
      <c r="B44" s="7" t="s">
        <v>10</v>
      </c>
      <c r="C44" s="15">
        <f>SUM(C40:C43)</f>
        <v>108853.26000000001</v>
      </c>
      <c r="D44" s="15">
        <f t="shared" ref="D44:G44" si="32">SUM(D40:D43)</f>
        <v>0</v>
      </c>
      <c r="E44" s="15">
        <f t="shared" si="32"/>
        <v>0</v>
      </c>
      <c r="F44" s="15">
        <f t="shared" si="32"/>
        <v>0</v>
      </c>
      <c r="G44" s="15">
        <f t="shared" si="32"/>
        <v>0</v>
      </c>
      <c r="Q44" s="2">
        <v>1</v>
      </c>
      <c r="R44" s="6" t="s">
        <v>0</v>
      </c>
      <c r="S44" s="12"/>
      <c r="T44" s="13">
        <f t="shared" ref="T44:T47" si="33">+S44</f>
        <v>0</v>
      </c>
      <c r="U44" s="12"/>
      <c r="V44" s="12"/>
      <c r="W44" s="12"/>
      <c r="X44" s="12">
        <f t="shared" ref="X44" si="34">+U44+V44+W44</f>
        <v>0</v>
      </c>
      <c r="Y44" s="12">
        <f t="shared" ref="Y44" si="35">+T44-X44</f>
        <v>0</v>
      </c>
    </row>
    <row r="45" spans="1:25" x14ac:dyDescent="0.3">
      <c r="Q45" s="2">
        <v>2</v>
      </c>
      <c r="R45" s="6" t="s">
        <v>1</v>
      </c>
      <c r="S45" s="12"/>
      <c r="T45" s="13">
        <f>+S45</f>
        <v>0</v>
      </c>
      <c r="U45" s="12"/>
      <c r="V45" s="12"/>
      <c r="W45" s="12"/>
      <c r="X45" s="12">
        <f>+U45+V45+W45</f>
        <v>0</v>
      </c>
      <c r="Y45" s="12">
        <f>+T45-X45</f>
        <v>0</v>
      </c>
    </row>
    <row r="46" spans="1:25" x14ac:dyDescent="0.3">
      <c r="Q46" s="2">
        <v>3</v>
      </c>
      <c r="R46" s="6" t="s">
        <v>2</v>
      </c>
      <c r="S46" s="12"/>
      <c r="T46" s="13">
        <f t="shared" si="33"/>
        <v>0</v>
      </c>
      <c r="U46" s="12"/>
      <c r="V46" s="12"/>
      <c r="W46" s="12"/>
      <c r="X46" s="12">
        <f t="shared" ref="X46:X47" si="36">+U46+V46+W46</f>
        <v>0</v>
      </c>
      <c r="Y46" s="12">
        <f t="shared" ref="Y46:Y47" si="37">+T46-X46</f>
        <v>0</v>
      </c>
    </row>
    <row r="47" spans="1:25" ht="18" x14ac:dyDescent="0.35">
      <c r="A47" s="3"/>
      <c r="B47" s="30" t="s">
        <v>30</v>
      </c>
      <c r="C47" s="30"/>
      <c r="D47" s="30"/>
      <c r="E47" s="30"/>
      <c r="F47" s="30"/>
      <c r="G47" s="30"/>
      <c r="Q47" s="2">
        <v>4</v>
      </c>
      <c r="R47" s="6" t="s">
        <v>3</v>
      </c>
      <c r="S47" s="12">
        <f>8397.9+8397.75</f>
        <v>16795.650000000001</v>
      </c>
      <c r="T47" s="13">
        <f t="shared" si="33"/>
        <v>16795.650000000001</v>
      </c>
      <c r="U47" s="12">
        <f>1246.5+1246.5</f>
        <v>2493</v>
      </c>
      <c r="V47" s="12">
        <f>240.2*2</f>
        <v>480.4</v>
      </c>
      <c r="W47" s="12">
        <v>0.05</v>
      </c>
      <c r="X47" s="12">
        <f t="shared" si="36"/>
        <v>2973.4500000000003</v>
      </c>
      <c r="Y47" s="12">
        <f t="shared" si="37"/>
        <v>13822.2</v>
      </c>
    </row>
    <row r="48" spans="1:25" ht="29.4" x14ac:dyDescent="0.35">
      <c r="A48" s="10" t="s">
        <v>11</v>
      </c>
      <c r="B48" s="23" t="s">
        <v>4</v>
      </c>
      <c r="C48" s="14" t="s">
        <v>5</v>
      </c>
      <c r="D48" s="9" t="s">
        <v>6</v>
      </c>
      <c r="E48" s="9" t="s">
        <v>7</v>
      </c>
      <c r="F48" s="9" t="s">
        <v>8</v>
      </c>
      <c r="G48" s="9" t="s">
        <v>9</v>
      </c>
      <c r="Q48" s="1"/>
      <c r="R48" s="7" t="s">
        <v>10</v>
      </c>
      <c r="S48" s="8">
        <f>SUM(S44:S47)</f>
        <v>16795.650000000001</v>
      </c>
      <c r="T48" s="8">
        <f t="shared" ref="T48:Y48" si="38">SUM(T44:T47)</f>
        <v>16795.650000000001</v>
      </c>
      <c r="U48" s="8">
        <f t="shared" si="38"/>
        <v>2493</v>
      </c>
      <c r="V48" s="8">
        <f t="shared" si="38"/>
        <v>480.4</v>
      </c>
      <c r="W48" s="8">
        <f t="shared" si="38"/>
        <v>0.05</v>
      </c>
      <c r="X48" s="8">
        <f t="shared" si="38"/>
        <v>2973.4500000000003</v>
      </c>
      <c r="Y48" s="8">
        <f t="shared" si="38"/>
        <v>13822.2</v>
      </c>
    </row>
    <row r="49" spans="1:25" x14ac:dyDescent="0.3">
      <c r="A49" s="2">
        <v>1</v>
      </c>
      <c r="B49" s="25" t="s">
        <v>0</v>
      </c>
      <c r="C49" s="12">
        <f>19061.7+19061.7+0.05</f>
        <v>38123.450000000004</v>
      </c>
      <c r="D49" s="13">
        <v>0</v>
      </c>
      <c r="E49" s="13">
        <v>0</v>
      </c>
      <c r="F49" s="13">
        <v>0</v>
      </c>
      <c r="G49" s="13">
        <v>0</v>
      </c>
    </row>
    <row r="50" spans="1:25" ht="18" x14ac:dyDescent="0.35">
      <c r="A50" s="2">
        <v>2</v>
      </c>
      <c r="B50" s="25" t="s">
        <v>1</v>
      </c>
      <c r="C50" s="12">
        <f>12387.9+12387.9</f>
        <v>24775.8</v>
      </c>
      <c r="D50" s="13">
        <v>0</v>
      </c>
      <c r="E50" s="13">
        <v>0</v>
      </c>
      <c r="F50" s="13">
        <v>0</v>
      </c>
      <c r="G50" s="13">
        <v>0</v>
      </c>
      <c r="Q50" s="3"/>
      <c r="R50" s="30" t="s">
        <v>99</v>
      </c>
      <c r="S50" s="30"/>
      <c r="T50" s="30"/>
      <c r="U50" s="30"/>
      <c r="V50" s="30"/>
      <c r="W50" s="30"/>
    </row>
    <row r="51" spans="1:25" ht="28.8" x14ac:dyDescent="0.3">
      <c r="A51" s="2">
        <v>3</v>
      </c>
      <c r="B51" s="25" t="s">
        <v>2</v>
      </c>
      <c r="C51" s="12">
        <f>12387.9+12387.9</f>
        <v>24775.8</v>
      </c>
      <c r="D51" s="13">
        <v>0</v>
      </c>
      <c r="E51" s="13">
        <v>0</v>
      </c>
      <c r="F51" s="13">
        <v>0</v>
      </c>
      <c r="G51" s="13">
        <v>0</v>
      </c>
      <c r="Q51" s="10" t="s">
        <v>11</v>
      </c>
      <c r="R51" s="9" t="s">
        <v>4</v>
      </c>
      <c r="S51" s="23" t="s">
        <v>5</v>
      </c>
      <c r="T51" s="23" t="s">
        <v>54</v>
      </c>
      <c r="U51" s="23" t="s">
        <v>55</v>
      </c>
      <c r="V51" s="23" t="s">
        <v>57</v>
      </c>
      <c r="W51" s="23" t="s">
        <v>56</v>
      </c>
      <c r="X51" s="23" t="s">
        <v>58</v>
      </c>
      <c r="Y51" s="23" t="s">
        <v>59</v>
      </c>
    </row>
    <row r="52" spans="1:25" x14ac:dyDescent="0.3">
      <c r="A52" s="2">
        <v>4</v>
      </c>
      <c r="B52" s="25" t="s">
        <v>3</v>
      </c>
      <c r="C52" s="4">
        <f>8397.75*2+0.15</f>
        <v>16795.650000000001</v>
      </c>
      <c r="D52" s="13">
        <v>0</v>
      </c>
      <c r="E52" s="13">
        <v>0</v>
      </c>
      <c r="F52" s="13">
        <v>0</v>
      </c>
      <c r="G52" s="13">
        <v>0</v>
      </c>
      <c r="Q52" s="2">
        <v>1</v>
      </c>
      <c r="R52" s="6" t="s">
        <v>0</v>
      </c>
      <c r="S52" s="12"/>
      <c r="T52" s="13">
        <f t="shared" ref="T52:T55" si="39">+S52</f>
        <v>0</v>
      </c>
      <c r="U52" s="12"/>
      <c r="V52" s="12"/>
      <c r="W52" s="12"/>
      <c r="X52" s="12">
        <f t="shared" ref="X52" si="40">+U52+V52+W52</f>
        <v>0</v>
      </c>
      <c r="Y52" s="12">
        <f t="shared" ref="Y52" si="41">+T52-X52</f>
        <v>0</v>
      </c>
    </row>
    <row r="53" spans="1:25" ht="18" x14ac:dyDescent="0.35">
      <c r="A53" s="1"/>
      <c r="B53" s="7" t="s">
        <v>10</v>
      </c>
      <c r="C53" s="15">
        <f>SUM(C49:C52)</f>
        <v>104470.70000000001</v>
      </c>
      <c r="D53" s="15">
        <f t="shared" ref="D53:G53" si="42">SUM(D49:D52)</f>
        <v>0</v>
      </c>
      <c r="E53" s="15">
        <f t="shared" si="42"/>
        <v>0</v>
      </c>
      <c r="F53" s="15">
        <f t="shared" si="42"/>
        <v>0</v>
      </c>
      <c r="G53" s="15">
        <f t="shared" si="42"/>
        <v>0</v>
      </c>
      <c r="Q53" s="2">
        <v>2</v>
      </c>
      <c r="R53" s="6" t="s">
        <v>1</v>
      </c>
      <c r="S53" s="12"/>
      <c r="T53" s="13">
        <f>+S53</f>
        <v>0</v>
      </c>
      <c r="U53" s="12"/>
      <c r="V53" s="12"/>
      <c r="W53" s="12"/>
      <c r="X53" s="12">
        <f>+U53+V53+W53</f>
        <v>0</v>
      </c>
      <c r="Y53" s="12">
        <f>+T53-X53</f>
        <v>0</v>
      </c>
    </row>
    <row r="54" spans="1:25" x14ac:dyDescent="0.3">
      <c r="Q54" s="2">
        <v>3</v>
      </c>
      <c r="R54" s="6" t="s">
        <v>2</v>
      </c>
      <c r="S54" s="12"/>
      <c r="T54" s="13">
        <f t="shared" si="39"/>
        <v>0</v>
      </c>
      <c r="U54" s="12"/>
      <c r="V54" s="12"/>
      <c r="W54" s="12"/>
      <c r="X54" s="12">
        <f t="shared" ref="X54:X55" si="43">+U54+V54+W54</f>
        <v>0</v>
      </c>
      <c r="Y54" s="12">
        <f t="shared" ref="Y54:Y55" si="44">+T54-X54</f>
        <v>0</v>
      </c>
    </row>
    <row r="55" spans="1:25" x14ac:dyDescent="0.3">
      <c r="Q55" s="2">
        <v>4</v>
      </c>
      <c r="R55" s="6" t="s">
        <v>3</v>
      </c>
      <c r="S55" s="12">
        <f>1783.66+8397.75</f>
        <v>10181.41</v>
      </c>
      <c r="T55" s="13">
        <f t="shared" si="39"/>
        <v>10181.41</v>
      </c>
      <c r="U55" s="12">
        <v>1246.5</v>
      </c>
      <c r="V55" s="12">
        <f>240.2+48.04</f>
        <v>288.24</v>
      </c>
      <c r="W55" s="12">
        <f>0.02+0.05</f>
        <v>7.0000000000000007E-2</v>
      </c>
      <c r="X55" s="12">
        <f t="shared" si="43"/>
        <v>1534.81</v>
      </c>
      <c r="Y55" s="12">
        <f t="shared" si="44"/>
        <v>8646.6</v>
      </c>
    </row>
    <row r="56" spans="1:25" ht="18" x14ac:dyDescent="0.35">
      <c r="A56" s="3"/>
      <c r="B56" s="30" t="s">
        <v>31</v>
      </c>
      <c r="C56" s="30"/>
      <c r="D56" s="30"/>
      <c r="E56" s="30"/>
      <c r="F56" s="30"/>
      <c r="G56" s="30"/>
      <c r="Q56" s="1"/>
      <c r="R56" s="7" t="s">
        <v>10</v>
      </c>
      <c r="S56" s="8">
        <f>SUM(S52:S55)</f>
        <v>10181.41</v>
      </c>
      <c r="T56" s="8">
        <f t="shared" ref="T56:Y56" si="45">SUM(T52:T55)</f>
        <v>10181.41</v>
      </c>
      <c r="U56" s="8">
        <f t="shared" si="45"/>
        <v>1246.5</v>
      </c>
      <c r="V56" s="8">
        <f t="shared" si="45"/>
        <v>288.24</v>
      </c>
      <c r="W56" s="8">
        <f t="shared" si="45"/>
        <v>7.0000000000000007E-2</v>
      </c>
      <c r="X56" s="8">
        <f t="shared" si="45"/>
        <v>1534.81</v>
      </c>
      <c r="Y56" s="8">
        <f t="shared" si="45"/>
        <v>8646.6</v>
      </c>
    </row>
    <row r="57" spans="1:25" ht="29.4" x14ac:dyDescent="0.35">
      <c r="A57" s="10" t="s">
        <v>11</v>
      </c>
      <c r="B57" s="23" t="s">
        <v>4</v>
      </c>
      <c r="C57" s="14" t="s">
        <v>5</v>
      </c>
      <c r="D57" s="9" t="s">
        <v>6</v>
      </c>
      <c r="E57" s="9" t="s">
        <v>7</v>
      </c>
      <c r="F57" s="9" t="s">
        <v>8</v>
      </c>
      <c r="G57" s="9" t="s">
        <v>9</v>
      </c>
      <c r="Q57" s="3"/>
      <c r="R57" s="30" t="s">
        <v>100</v>
      </c>
      <c r="S57" s="30"/>
      <c r="T57" s="30"/>
      <c r="U57" s="30"/>
      <c r="V57" s="30"/>
      <c r="W57" s="30"/>
    </row>
    <row r="58" spans="1:25" ht="28.8" x14ac:dyDescent="0.3">
      <c r="A58" s="2">
        <v>1</v>
      </c>
      <c r="B58" s="25" t="s">
        <v>0</v>
      </c>
      <c r="C58" s="12">
        <f>20321.08+19061.7+0.05+0.05</f>
        <v>39382.880000000005</v>
      </c>
      <c r="D58" s="13">
        <v>0</v>
      </c>
      <c r="E58" s="13">
        <v>0</v>
      </c>
      <c r="F58" s="13">
        <v>0</v>
      </c>
      <c r="G58" s="13">
        <v>0</v>
      </c>
      <c r="Q58" s="10" t="s">
        <v>11</v>
      </c>
      <c r="R58" s="9" t="s">
        <v>4</v>
      </c>
      <c r="S58" s="23" t="s">
        <v>5</v>
      </c>
      <c r="T58" s="23" t="s">
        <v>54</v>
      </c>
      <c r="U58" s="23" t="s">
        <v>55</v>
      </c>
      <c r="V58" s="23" t="s">
        <v>57</v>
      </c>
      <c r="W58" s="23" t="s">
        <v>56</v>
      </c>
      <c r="X58" s="23" t="s">
        <v>58</v>
      </c>
      <c r="Y58" s="23" t="s">
        <v>59</v>
      </c>
    </row>
    <row r="59" spans="1:25" x14ac:dyDescent="0.3">
      <c r="A59" s="2">
        <v>2</v>
      </c>
      <c r="B59" s="25" t="s">
        <v>1</v>
      </c>
      <c r="C59" s="12">
        <f>13213.76+12387.9+0.02</f>
        <v>25601.68</v>
      </c>
      <c r="D59" s="13">
        <v>0</v>
      </c>
      <c r="E59" s="13">
        <v>0</v>
      </c>
      <c r="F59" s="13">
        <v>0</v>
      </c>
      <c r="G59" s="13">
        <v>0</v>
      </c>
      <c r="Q59" s="2">
        <v>1</v>
      </c>
      <c r="R59" s="6" t="s">
        <v>0</v>
      </c>
      <c r="S59" s="12"/>
      <c r="T59" s="13">
        <f t="shared" ref="T59:T62" si="46">+S59</f>
        <v>0</v>
      </c>
      <c r="U59" s="12"/>
      <c r="V59" s="12"/>
      <c r="W59" s="12"/>
      <c r="X59" s="12">
        <f t="shared" ref="X59" si="47">+U59+V59+W59</f>
        <v>0</v>
      </c>
      <c r="Y59" s="12">
        <f t="shared" ref="Y59" si="48">+T59-X59</f>
        <v>0</v>
      </c>
    </row>
    <row r="60" spans="1:25" x14ac:dyDescent="0.3">
      <c r="A60" s="2">
        <v>3</v>
      </c>
      <c r="B60" s="25" t="s">
        <v>2</v>
      </c>
      <c r="C60" s="12">
        <f>13213.76+12387.9+0.15+0.02</f>
        <v>25601.83</v>
      </c>
      <c r="D60" s="13">
        <v>0</v>
      </c>
      <c r="E60" s="13">
        <v>0</v>
      </c>
      <c r="F60" s="13">
        <v>0</v>
      </c>
      <c r="G60" s="13">
        <v>0</v>
      </c>
      <c r="Q60" s="2">
        <v>2</v>
      </c>
      <c r="R60" s="6" t="s">
        <v>1</v>
      </c>
      <c r="S60" s="12"/>
      <c r="T60" s="13">
        <f>+S60</f>
        <v>0</v>
      </c>
      <c r="U60" s="12"/>
      <c r="V60" s="12"/>
      <c r="W60" s="12"/>
      <c r="X60" s="12">
        <f>+U60+V60+W60</f>
        <v>0</v>
      </c>
      <c r="Y60" s="12">
        <f>+T60-X60</f>
        <v>0</v>
      </c>
    </row>
    <row r="61" spans="1:25" x14ac:dyDescent="0.3">
      <c r="A61" s="2">
        <v>4</v>
      </c>
      <c r="B61" s="25" t="s">
        <v>3</v>
      </c>
      <c r="C61" s="12">
        <f>8397.75+1679.55+104.11</f>
        <v>10181.41</v>
      </c>
      <c r="D61" s="13">
        <v>0</v>
      </c>
      <c r="E61" s="13">
        <v>0</v>
      </c>
      <c r="F61" s="13">
        <v>0</v>
      </c>
      <c r="G61" s="13">
        <v>0</v>
      </c>
      <c r="Q61" s="2">
        <v>3</v>
      </c>
      <c r="R61" s="6" t="s">
        <v>2</v>
      </c>
      <c r="S61" s="12"/>
      <c r="T61" s="13">
        <f t="shared" si="46"/>
        <v>0</v>
      </c>
      <c r="U61" s="12"/>
      <c r="V61" s="12"/>
      <c r="W61" s="12"/>
      <c r="X61" s="12">
        <f t="shared" ref="X61:X62" si="49">+U61+V61+W61</f>
        <v>0</v>
      </c>
      <c r="Y61" s="12">
        <f t="shared" ref="Y61:Y62" si="50">+T61-X61</f>
        <v>0</v>
      </c>
    </row>
    <row r="62" spans="1:25" ht="18" x14ac:dyDescent="0.35">
      <c r="A62" s="1"/>
      <c r="B62" s="7" t="s">
        <v>10</v>
      </c>
      <c r="C62" s="15">
        <f>SUM(C58:C61)</f>
        <v>100767.80000000002</v>
      </c>
      <c r="D62" s="15">
        <f t="shared" ref="D62:G62" si="51">SUM(D58:D61)</f>
        <v>0</v>
      </c>
      <c r="E62" s="15">
        <f t="shared" si="51"/>
        <v>0</v>
      </c>
      <c r="F62" s="15">
        <f t="shared" si="51"/>
        <v>0</v>
      </c>
      <c r="G62" s="15">
        <f t="shared" si="51"/>
        <v>0</v>
      </c>
      <c r="Q62" s="2">
        <v>4</v>
      </c>
      <c r="R62" s="6" t="s">
        <v>3</v>
      </c>
      <c r="S62" s="12">
        <f>8957.7+8397.75</f>
        <v>17355.45</v>
      </c>
      <c r="T62" s="13">
        <f t="shared" si="46"/>
        <v>17355.45</v>
      </c>
      <c r="U62" s="12">
        <f>1246.5+1366.08</f>
        <v>2612.58</v>
      </c>
      <c r="V62" s="12">
        <f>256.22+240.2</f>
        <v>496.42</v>
      </c>
      <c r="W62" s="12">
        <v>0.05</v>
      </c>
      <c r="X62" s="12">
        <f t="shared" si="49"/>
        <v>3109.05</v>
      </c>
      <c r="Y62" s="12">
        <f t="shared" si="50"/>
        <v>14246.400000000001</v>
      </c>
    </row>
    <row r="63" spans="1:25" ht="18" x14ac:dyDescent="0.35">
      <c r="Q63" s="1"/>
      <c r="R63" s="7" t="s">
        <v>10</v>
      </c>
      <c r="S63" s="8">
        <f>SUM(S59:S62)</f>
        <v>17355.45</v>
      </c>
      <c r="T63" s="8">
        <f t="shared" ref="T63:Y63" si="52">SUM(T59:T62)</f>
        <v>17355.45</v>
      </c>
      <c r="U63" s="8">
        <f t="shared" si="52"/>
        <v>2612.58</v>
      </c>
      <c r="V63" s="8">
        <f t="shared" si="52"/>
        <v>496.42</v>
      </c>
      <c r="W63" s="8">
        <f t="shared" si="52"/>
        <v>0.05</v>
      </c>
      <c r="X63" s="8">
        <f t="shared" si="52"/>
        <v>3109.05</v>
      </c>
      <c r="Y63" s="8">
        <f t="shared" si="52"/>
        <v>14246.400000000001</v>
      </c>
    </row>
    <row r="65" spans="1:25" ht="18" x14ac:dyDescent="0.35">
      <c r="A65" s="3"/>
      <c r="B65" s="30" t="s">
        <v>32</v>
      </c>
      <c r="C65" s="30"/>
      <c r="D65" s="30"/>
      <c r="E65" s="30"/>
      <c r="F65" s="30"/>
      <c r="G65" s="30"/>
      <c r="Q65" s="3"/>
      <c r="R65" s="30" t="s">
        <v>101</v>
      </c>
      <c r="S65" s="30"/>
      <c r="T65" s="30"/>
      <c r="U65" s="30"/>
      <c r="V65" s="30"/>
      <c r="W65" s="30"/>
    </row>
    <row r="66" spans="1:25" ht="28.8" x14ac:dyDescent="0.3">
      <c r="A66" s="10" t="s">
        <v>11</v>
      </c>
      <c r="B66" s="23" t="s">
        <v>4</v>
      </c>
      <c r="C66" s="14" t="s">
        <v>5</v>
      </c>
      <c r="D66" s="9" t="s">
        <v>6</v>
      </c>
      <c r="E66" s="9" t="s">
        <v>7</v>
      </c>
      <c r="F66" s="9" t="s">
        <v>8</v>
      </c>
      <c r="G66" s="9" t="s">
        <v>9</v>
      </c>
      <c r="Q66" s="10" t="s">
        <v>11</v>
      </c>
      <c r="R66" s="9" t="s">
        <v>4</v>
      </c>
      <c r="S66" s="23" t="s">
        <v>5</v>
      </c>
      <c r="T66" s="23" t="s">
        <v>54</v>
      </c>
      <c r="U66" s="23" t="s">
        <v>55</v>
      </c>
      <c r="V66" s="23" t="s">
        <v>57</v>
      </c>
      <c r="W66" s="23" t="s">
        <v>56</v>
      </c>
      <c r="X66" s="23" t="s">
        <v>58</v>
      </c>
      <c r="Y66" s="23" t="s">
        <v>59</v>
      </c>
    </row>
    <row r="67" spans="1:25" x14ac:dyDescent="0.3">
      <c r="A67" s="2">
        <v>1</v>
      </c>
      <c r="B67" s="25" t="s">
        <v>0</v>
      </c>
      <c r="C67" s="12">
        <f>20332.48+19061.7+0.05</f>
        <v>39394.230000000003</v>
      </c>
      <c r="D67" s="13">
        <v>0</v>
      </c>
      <c r="E67" s="13">
        <v>0</v>
      </c>
      <c r="F67" s="13">
        <v>0</v>
      </c>
      <c r="G67" s="13">
        <v>0</v>
      </c>
      <c r="Q67" s="2">
        <v>1</v>
      </c>
      <c r="R67" s="6" t="s">
        <v>0</v>
      </c>
      <c r="S67" s="12"/>
      <c r="T67" s="13">
        <f t="shared" ref="T67:T70" si="53">+S67</f>
        <v>0</v>
      </c>
      <c r="U67" s="12"/>
      <c r="V67" s="12"/>
      <c r="W67" s="12"/>
      <c r="X67" s="12">
        <f t="shared" ref="X67" si="54">+U67+V67+W67</f>
        <v>0</v>
      </c>
      <c r="Y67" s="12">
        <f t="shared" ref="Y67" si="55">+T67-X67</f>
        <v>0</v>
      </c>
    </row>
    <row r="68" spans="1:25" x14ac:dyDescent="0.3">
      <c r="A68" s="2">
        <v>2</v>
      </c>
      <c r="B68" s="25" t="s">
        <v>1</v>
      </c>
      <c r="C68" s="12">
        <f>13213.76+12387.9+0.15</f>
        <v>25601.81</v>
      </c>
      <c r="D68" s="13">
        <v>0</v>
      </c>
      <c r="E68" s="13">
        <v>0</v>
      </c>
      <c r="F68" s="13">
        <v>0</v>
      </c>
      <c r="G68" s="13">
        <v>0</v>
      </c>
      <c r="Q68" s="2">
        <v>2</v>
      </c>
      <c r="R68" s="6" t="s">
        <v>1</v>
      </c>
      <c r="S68" s="12"/>
      <c r="T68" s="13">
        <f>+S68</f>
        <v>0</v>
      </c>
      <c r="U68" s="12"/>
      <c r="V68" s="12"/>
      <c r="W68" s="12"/>
      <c r="X68" s="12">
        <f>+U68+V68+W68</f>
        <v>0</v>
      </c>
      <c r="Y68" s="12">
        <f>+T68-X68</f>
        <v>0</v>
      </c>
    </row>
    <row r="69" spans="1:25" x14ac:dyDescent="0.3">
      <c r="A69" s="2">
        <v>3</v>
      </c>
      <c r="B69" s="25" t="s">
        <v>2</v>
      </c>
      <c r="C69" s="12">
        <f>13213.76+12387.9+0.02</f>
        <v>25601.68</v>
      </c>
      <c r="D69" s="13">
        <v>0</v>
      </c>
      <c r="E69" s="13">
        <v>0</v>
      </c>
      <c r="F69" s="13">
        <v>0</v>
      </c>
      <c r="G69" s="13">
        <v>0</v>
      </c>
      <c r="Q69" s="2">
        <v>3</v>
      </c>
      <c r="R69" s="6" t="s">
        <v>2</v>
      </c>
      <c r="S69" s="12"/>
      <c r="T69" s="13">
        <f t="shared" si="53"/>
        <v>0</v>
      </c>
      <c r="U69" s="12"/>
      <c r="V69" s="12"/>
      <c r="W69" s="12"/>
      <c r="X69" s="12">
        <f t="shared" ref="X69:X70" si="56">+U69+V69+W69</f>
        <v>0</v>
      </c>
      <c r="Y69" s="12">
        <f t="shared" ref="Y69:Y70" si="57">+T69-X69</f>
        <v>0</v>
      </c>
    </row>
    <row r="70" spans="1:25" x14ac:dyDescent="0.3">
      <c r="A70" s="2">
        <v>4</v>
      </c>
      <c r="B70" s="25" t="s">
        <v>3</v>
      </c>
      <c r="C70" s="12">
        <f>8957.6+8397.75+0.1</f>
        <v>17355.449999999997</v>
      </c>
      <c r="D70" s="13">
        <v>0</v>
      </c>
      <c r="E70" s="13">
        <v>0</v>
      </c>
      <c r="F70" s="13">
        <v>0</v>
      </c>
      <c r="G70" s="13">
        <v>0</v>
      </c>
      <c r="Q70" s="2">
        <v>4</v>
      </c>
      <c r="R70" s="6" t="s">
        <v>3</v>
      </c>
      <c r="S70" s="12">
        <f>8397.75+9797.39</f>
        <v>18195.14</v>
      </c>
      <c r="T70" s="13">
        <f t="shared" si="53"/>
        <v>18195.14</v>
      </c>
      <c r="U70" s="12">
        <f>1246.5+57.09+1246.5</f>
        <v>2550.09</v>
      </c>
      <c r="V70" s="12">
        <f>240.2+240.2</f>
        <v>480.4</v>
      </c>
      <c r="W70" s="12">
        <v>0.05</v>
      </c>
      <c r="X70" s="12">
        <f t="shared" si="56"/>
        <v>3030.5400000000004</v>
      </c>
      <c r="Y70" s="12">
        <f t="shared" si="57"/>
        <v>15164.599999999999</v>
      </c>
    </row>
    <row r="71" spans="1:25" ht="18" x14ac:dyDescent="0.35">
      <c r="A71" s="1"/>
      <c r="B71" s="7" t="s">
        <v>10</v>
      </c>
      <c r="C71" s="15">
        <f>SUM(C67:C70)</f>
        <v>107953.17</v>
      </c>
      <c r="D71" s="15">
        <f t="shared" ref="D71:G71" si="58">SUM(D67:D70)</f>
        <v>0</v>
      </c>
      <c r="E71" s="15">
        <f t="shared" si="58"/>
        <v>0</v>
      </c>
      <c r="F71" s="15">
        <f t="shared" si="58"/>
        <v>0</v>
      </c>
      <c r="G71" s="15">
        <f t="shared" si="58"/>
        <v>0</v>
      </c>
      <c r="Q71" s="1"/>
      <c r="R71" s="7" t="s">
        <v>10</v>
      </c>
      <c r="S71" s="8">
        <f>SUM(S67:S70)</f>
        <v>18195.14</v>
      </c>
      <c r="T71" s="8">
        <f t="shared" ref="T71:Y71" si="59">SUM(T67:T70)</f>
        <v>18195.14</v>
      </c>
      <c r="U71" s="8">
        <f t="shared" si="59"/>
        <v>2550.09</v>
      </c>
      <c r="V71" s="8">
        <f t="shared" si="59"/>
        <v>480.4</v>
      </c>
      <c r="W71" s="8">
        <f t="shared" si="59"/>
        <v>0.05</v>
      </c>
      <c r="X71" s="8">
        <f t="shared" si="59"/>
        <v>3030.5400000000004</v>
      </c>
      <c r="Y71" s="8">
        <f t="shared" si="59"/>
        <v>15164.599999999999</v>
      </c>
    </row>
    <row r="73" spans="1:25" ht="18" x14ac:dyDescent="0.35">
      <c r="Q73" s="3"/>
      <c r="R73" s="30" t="s">
        <v>102</v>
      </c>
      <c r="S73" s="30"/>
      <c r="T73" s="30"/>
      <c r="U73" s="30"/>
      <c r="V73" s="30"/>
      <c r="W73" s="30"/>
    </row>
    <row r="74" spans="1:25" ht="29.4" x14ac:dyDescent="0.35">
      <c r="A74" s="3"/>
      <c r="B74" s="30" t="s">
        <v>33</v>
      </c>
      <c r="C74" s="30"/>
      <c r="D74" s="30"/>
      <c r="E74" s="30"/>
      <c r="F74" s="30"/>
      <c r="G74" s="30"/>
      <c r="Q74" s="10" t="s">
        <v>11</v>
      </c>
      <c r="R74" s="9" t="s">
        <v>4</v>
      </c>
      <c r="S74" s="23" t="s">
        <v>5</v>
      </c>
      <c r="T74" s="23" t="s">
        <v>54</v>
      </c>
      <c r="U74" s="23" t="s">
        <v>55</v>
      </c>
      <c r="V74" s="23" t="s">
        <v>57</v>
      </c>
      <c r="W74" s="23" t="s">
        <v>56</v>
      </c>
      <c r="X74" s="23" t="s">
        <v>58</v>
      </c>
      <c r="Y74" s="23" t="s">
        <v>59</v>
      </c>
    </row>
    <row r="75" spans="1:25" ht="43.2" x14ac:dyDescent="0.3">
      <c r="A75" s="10" t="s">
        <v>11</v>
      </c>
      <c r="B75" s="23" t="s">
        <v>4</v>
      </c>
      <c r="C75" s="14" t="s">
        <v>5</v>
      </c>
      <c r="D75" s="9" t="s">
        <v>6</v>
      </c>
      <c r="E75" s="9" t="s">
        <v>7</v>
      </c>
      <c r="F75" s="9" t="s">
        <v>24</v>
      </c>
      <c r="G75" s="9" t="s">
        <v>8</v>
      </c>
      <c r="H75" s="9" t="s">
        <v>9</v>
      </c>
      <c r="Q75" s="2">
        <v>1</v>
      </c>
      <c r="R75" s="6" t="s">
        <v>0</v>
      </c>
      <c r="S75" s="12"/>
      <c r="T75" s="13">
        <f t="shared" ref="T75:T78" si="60">+S75</f>
        <v>0</v>
      </c>
      <c r="U75" s="12"/>
      <c r="V75" s="12"/>
      <c r="W75" s="12"/>
      <c r="X75" s="12">
        <f t="shared" ref="X75" si="61">+U75+V75+W75</f>
        <v>0</v>
      </c>
      <c r="Y75" s="12">
        <f t="shared" ref="Y75" si="62">+T75-X75</f>
        <v>0</v>
      </c>
    </row>
    <row r="76" spans="1:25" x14ac:dyDescent="0.3">
      <c r="A76" s="2">
        <v>1</v>
      </c>
      <c r="B76" s="25" t="s">
        <v>0</v>
      </c>
      <c r="C76" s="12">
        <f>19061.7+19061.7+0.08+0.05</f>
        <v>38123.530000000006</v>
      </c>
      <c r="D76" s="13">
        <v>0</v>
      </c>
      <c r="E76" s="13">
        <v>0</v>
      </c>
      <c r="F76" s="13">
        <v>0</v>
      </c>
      <c r="G76" s="13">
        <v>3176.95</v>
      </c>
      <c r="H76" s="13">
        <v>0</v>
      </c>
      <c r="Q76" s="2">
        <v>2</v>
      </c>
      <c r="R76" s="6" t="s">
        <v>1</v>
      </c>
      <c r="S76" s="12"/>
      <c r="T76" s="13">
        <f>+S76</f>
        <v>0</v>
      </c>
      <c r="U76" s="12"/>
      <c r="V76" s="12"/>
      <c r="W76" s="12"/>
      <c r="X76" s="12">
        <f>+U76+V76+W76</f>
        <v>0</v>
      </c>
      <c r="Y76" s="12">
        <f>+T76-X76</f>
        <v>0</v>
      </c>
    </row>
    <row r="77" spans="1:25" x14ac:dyDescent="0.3">
      <c r="A77" s="2">
        <v>2</v>
      </c>
      <c r="B77" s="25" t="s">
        <v>1</v>
      </c>
      <c r="C77" s="12">
        <f>12387.9*2+0.18</f>
        <v>24775.98</v>
      </c>
      <c r="D77" s="13">
        <v>0</v>
      </c>
      <c r="E77" s="13">
        <v>0</v>
      </c>
      <c r="F77" s="13">
        <v>0</v>
      </c>
      <c r="G77" s="13">
        <v>2064.65</v>
      </c>
      <c r="H77" s="13">
        <v>0</v>
      </c>
      <c r="Q77" s="2">
        <v>3</v>
      </c>
      <c r="R77" s="6" t="s">
        <v>2</v>
      </c>
      <c r="S77" s="12"/>
      <c r="T77" s="13">
        <f t="shared" si="60"/>
        <v>0</v>
      </c>
      <c r="U77" s="12"/>
      <c r="V77" s="12"/>
      <c r="W77" s="12"/>
      <c r="X77" s="12">
        <f t="shared" ref="X77" si="63">+U77+V77+W77</f>
        <v>0</v>
      </c>
      <c r="Y77" s="12">
        <f t="shared" ref="Y77:Y78" si="64">+T77-X77</f>
        <v>0</v>
      </c>
    </row>
    <row r="78" spans="1:25" x14ac:dyDescent="0.3">
      <c r="A78" s="2">
        <v>3</v>
      </c>
      <c r="B78" s="25" t="s">
        <v>2</v>
      </c>
      <c r="C78" s="12">
        <f>12387.9+12387.9</f>
        <v>24775.8</v>
      </c>
      <c r="D78" s="13">
        <v>0</v>
      </c>
      <c r="E78" s="13">
        <v>0</v>
      </c>
      <c r="F78" s="13">
        <v>0</v>
      </c>
      <c r="G78" s="13">
        <v>2064.65</v>
      </c>
      <c r="H78" s="13">
        <v>0</v>
      </c>
      <c r="Q78" s="2">
        <v>4</v>
      </c>
      <c r="R78" s="6" t="s">
        <v>3</v>
      </c>
      <c r="S78" s="12">
        <f>8397.75+8957.7</f>
        <v>17355.45</v>
      </c>
      <c r="T78" s="13">
        <f t="shared" si="60"/>
        <v>17355.45</v>
      </c>
      <c r="U78" s="12">
        <f>1246.5+1366.08</f>
        <v>2612.58</v>
      </c>
      <c r="V78" s="12">
        <f>256.22+240.2</f>
        <v>496.42</v>
      </c>
      <c r="W78" s="12">
        <v>0.05</v>
      </c>
      <c r="X78" s="12">
        <f>+U78+V78+W78</f>
        <v>3109.05</v>
      </c>
      <c r="Y78" s="12">
        <f t="shared" si="64"/>
        <v>14246.400000000001</v>
      </c>
    </row>
    <row r="79" spans="1:25" ht="18" x14ac:dyDescent="0.35">
      <c r="A79" s="2">
        <v>4</v>
      </c>
      <c r="B79" s="25" t="s">
        <v>3</v>
      </c>
      <c r="C79" s="12">
        <f>8397.75+7837.9+0.01</f>
        <v>16235.66</v>
      </c>
      <c r="D79" s="13">
        <v>0</v>
      </c>
      <c r="E79" s="13">
        <v>0</v>
      </c>
      <c r="F79" s="13">
        <v>559.85</v>
      </c>
      <c r="G79" s="13">
        <v>1399.63</v>
      </c>
      <c r="H79" s="13">
        <v>0</v>
      </c>
      <c r="Q79" s="1"/>
      <c r="R79" s="7" t="s">
        <v>10</v>
      </c>
      <c r="S79" s="8">
        <f>SUM(S75:S78)</f>
        <v>17355.45</v>
      </c>
      <c r="T79" s="8">
        <f t="shared" ref="T79:Y79" si="65">SUM(T75:T78)</f>
        <v>17355.45</v>
      </c>
      <c r="U79" s="8">
        <f t="shared" si="65"/>
        <v>2612.58</v>
      </c>
      <c r="V79" s="8">
        <f t="shared" si="65"/>
        <v>496.42</v>
      </c>
      <c r="W79" s="8">
        <f t="shared" si="65"/>
        <v>0.05</v>
      </c>
      <c r="X79" s="8">
        <f t="shared" si="65"/>
        <v>3109.05</v>
      </c>
      <c r="Y79" s="8">
        <f t="shared" si="65"/>
        <v>14246.400000000001</v>
      </c>
    </row>
    <row r="80" spans="1:25" ht="18" x14ac:dyDescent="0.35">
      <c r="A80" s="1"/>
      <c r="B80" s="7" t="s">
        <v>10</v>
      </c>
      <c r="C80" s="15">
        <f>SUM(C76:C79)</f>
        <v>103910.97000000002</v>
      </c>
      <c r="D80" s="15">
        <f t="shared" ref="D80:E80" si="66">SUM(D76:D79)</f>
        <v>0</v>
      </c>
      <c r="E80" s="15">
        <f t="shared" si="66"/>
        <v>0</v>
      </c>
      <c r="F80" s="15">
        <f>SUM(F76:F79)</f>
        <v>559.85</v>
      </c>
      <c r="G80" s="15">
        <f>SUM(G76:G79)</f>
        <v>8705.880000000001</v>
      </c>
      <c r="H80" s="15">
        <f>SUM(H76:H79)</f>
        <v>0</v>
      </c>
    </row>
    <row r="81" spans="1:26" ht="18" x14ac:dyDescent="0.35">
      <c r="Q81" s="3"/>
      <c r="R81" s="30" t="s">
        <v>103</v>
      </c>
      <c r="S81" s="30"/>
      <c r="T81" s="30"/>
      <c r="U81" s="30"/>
      <c r="V81" s="30"/>
      <c r="W81" s="30"/>
    </row>
    <row r="82" spans="1:26" ht="28.8" x14ac:dyDescent="0.3">
      <c r="Q82" s="10" t="s">
        <v>11</v>
      </c>
      <c r="R82" s="9" t="s">
        <v>4</v>
      </c>
      <c r="S82" s="23" t="s">
        <v>5</v>
      </c>
      <c r="T82" s="23" t="s">
        <v>54</v>
      </c>
      <c r="U82" s="23" t="s">
        <v>55</v>
      </c>
      <c r="V82" s="23" t="s">
        <v>57</v>
      </c>
      <c r="W82" s="23" t="s">
        <v>56</v>
      </c>
      <c r="X82" s="23" t="s">
        <v>58</v>
      </c>
      <c r="Y82" s="23" t="s">
        <v>59</v>
      </c>
    </row>
    <row r="83" spans="1:26" ht="18" x14ac:dyDescent="0.35">
      <c r="A83" s="3"/>
      <c r="B83" s="30" t="s">
        <v>34</v>
      </c>
      <c r="C83" s="30"/>
      <c r="D83" s="30"/>
      <c r="E83" s="30"/>
      <c r="F83" s="30"/>
      <c r="G83" s="30"/>
      <c r="Q83" s="2">
        <v>1</v>
      </c>
      <c r="R83" s="6" t="s">
        <v>0</v>
      </c>
      <c r="S83" s="12"/>
      <c r="T83" s="13">
        <f t="shared" ref="T83:T86" si="67">+S83</f>
        <v>0</v>
      </c>
      <c r="U83" s="12"/>
      <c r="V83" s="12"/>
      <c r="W83" s="12"/>
      <c r="X83" s="12">
        <f t="shared" ref="X83" si="68">+U83+V83+W83</f>
        <v>0</v>
      </c>
      <c r="Y83" s="12">
        <f t="shared" ref="Y83" si="69">+T83-X83</f>
        <v>0</v>
      </c>
    </row>
    <row r="84" spans="1:26" ht="28.8" x14ac:dyDescent="0.3">
      <c r="A84" s="10" t="s">
        <v>11</v>
      </c>
      <c r="B84" s="23" t="s">
        <v>4</v>
      </c>
      <c r="C84" s="14" t="s">
        <v>5</v>
      </c>
      <c r="D84" s="9" t="s">
        <v>6</v>
      </c>
      <c r="E84" s="9" t="s">
        <v>7</v>
      </c>
      <c r="F84" s="9" t="s">
        <v>8</v>
      </c>
      <c r="G84" s="9" t="s">
        <v>9</v>
      </c>
      <c r="Q84" s="2">
        <v>2</v>
      </c>
      <c r="R84" s="6" t="s">
        <v>1</v>
      </c>
      <c r="S84" s="12"/>
      <c r="T84" s="13">
        <f>+S84</f>
        <v>0</v>
      </c>
      <c r="U84" s="12"/>
      <c r="V84" s="12"/>
      <c r="W84" s="12"/>
      <c r="X84" s="12">
        <f>+U84+V84+W84</f>
        <v>0</v>
      </c>
      <c r="Y84" s="12">
        <f>+T84-X84</f>
        <v>0</v>
      </c>
    </row>
    <row r="85" spans="1:26" x14ac:dyDescent="0.3">
      <c r="A85" s="2">
        <v>1</v>
      </c>
      <c r="B85" s="25" t="s">
        <v>0</v>
      </c>
      <c r="C85" s="12">
        <f>20332.48+19061.7+0.07</f>
        <v>39394.25</v>
      </c>
      <c r="D85" s="13">
        <v>0</v>
      </c>
      <c r="E85" s="13">
        <v>0</v>
      </c>
      <c r="F85" s="13">
        <v>0</v>
      </c>
      <c r="G85" s="13">
        <v>0</v>
      </c>
      <c r="Q85" s="2">
        <v>3</v>
      </c>
      <c r="R85" s="6" t="s">
        <v>2</v>
      </c>
      <c r="S85" s="12"/>
      <c r="T85" s="13">
        <f t="shared" si="67"/>
        <v>0</v>
      </c>
      <c r="U85" s="12"/>
      <c r="V85" s="12"/>
      <c r="W85" s="12"/>
      <c r="X85" s="12">
        <f t="shared" ref="X85:X86" si="70">+U85+V85+W85</f>
        <v>0</v>
      </c>
      <c r="Y85" s="12">
        <f t="shared" ref="Y85:Y86" si="71">+T85-X85</f>
        <v>0</v>
      </c>
    </row>
    <row r="86" spans="1:26" x14ac:dyDescent="0.3">
      <c r="A86" s="2">
        <v>2</v>
      </c>
      <c r="B86" s="25" t="s">
        <v>1</v>
      </c>
      <c r="C86" s="12">
        <f>12387.9+13213.76+0.02</f>
        <v>25601.68</v>
      </c>
      <c r="D86" s="13">
        <v>0</v>
      </c>
      <c r="E86" s="13">
        <v>0</v>
      </c>
      <c r="F86" s="13">
        <v>0</v>
      </c>
      <c r="G86" s="13">
        <v>0</v>
      </c>
      <c r="Q86" s="2">
        <v>4</v>
      </c>
      <c r="R86" s="6" t="s">
        <v>3</v>
      </c>
      <c r="S86" s="12">
        <f>8397.75+8397.75</f>
        <v>16795.5</v>
      </c>
      <c r="T86" s="13">
        <f t="shared" si="67"/>
        <v>16795.5</v>
      </c>
      <c r="U86" s="12">
        <f>1246.5+1246.5</f>
        <v>2493</v>
      </c>
      <c r="V86" s="12">
        <f>240.2+240.2</f>
        <v>480.4</v>
      </c>
      <c r="W86" s="12">
        <f>0.05+0.05</f>
        <v>0.1</v>
      </c>
      <c r="X86" s="12">
        <f t="shared" si="70"/>
        <v>2973.5</v>
      </c>
      <c r="Y86" s="12">
        <f t="shared" si="71"/>
        <v>13822</v>
      </c>
      <c r="Z86" s="4">
        <f>6911*2</f>
        <v>13822</v>
      </c>
    </row>
    <row r="87" spans="1:26" ht="18" x14ac:dyDescent="0.35">
      <c r="A87" s="2">
        <v>3</v>
      </c>
      <c r="B87" s="25" t="s">
        <v>2</v>
      </c>
      <c r="C87" s="12">
        <f>13213.76+12387.9+0.02</f>
        <v>25601.68</v>
      </c>
      <c r="D87" s="13">
        <v>0</v>
      </c>
      <c r="E87" s="13">
        <v>0</v>
      </c>
      <c r="F87" s="13">
        <v>0</v>
      </c>
      <c r="G87" s="13">
        <v>0</v>
      </c>
      <c r="Q87" s="1"/>
      <c r="R87" s="7" t="s">
        <v>10</v>
      </c>
      <c r="S87" s="8">
        <f>SUM(S83:S86)</f>
        <v>16795.5</v>
      </c>
      <c r="T87" s="8">
        <f t="shared" ref="T87:Y87" si="72">SUM(T83:T86)</f>
        <v>16795.5</v>
      </c>
      <c r="U87" s="8">
        <f t="shared" si="72"/>
        <v>2493</v>
      </c>
      <c r="V87" s="8">
        <f t="shared" si="72"/>
        <v>480.4</v>
      </c>
      <c r="W87" s="8">
        <f t="shared" si="72"/>
        <v>0.1</v>
      </c>
      <c r="X87" s="8">
        <f t="shared" si="72"/>
        <v>2973.5</v>
      </c>
      <c r="Y87" s="8">
        <f t="shared" si="72"/>
        <v>13822</v>
      </c>
    </row>
    <row r="88" spans="1:26" x14ac:dyDescent="0.3">
      <c r="A88" s="2">
        <v>4</v>
      </c>
      <c r="B88" s="25" t="s">
        <v>3</v>
      </c>
      <c r="C88" s="12">
        <f>8397.75+8957.6+0.1</f>
        <v>17355.449999999997</v>
      </c>
      <c r="D88" s="13">
        <v>0</v>
      </c>
      <c r="E88" s="13">
        <v>0</v>
      </c>
      <c r="F88" s="13">
        <v>0</v>
      </c>
      <c r="G88" s="13">
        <v>0</v>
      </c>
    </row>
    <row r="89" spans="1:26" ht="18" x14ac:dyDescent="0.35">
      <c r="A89" s="1"/>
      <c r="B89" s="7" t="s">
        <v>10</v>
      </c>
      <c r="C89" s="15">
        <f>SUM(C85:C88)</f>
        <v>107953.06</v>
      </c>
      <c r="D89" s="15">
        <f t="shared" ref="D89:G89" si="73">SUM(D85:D88)</f>
        <v>0</v>
      </c>
      <c r="E89" s="15">
        <f t="shared" si="73"/>
        <v>0</v>
      </c>
      <c r="F89" s="15">
        <f t="shared" si="73"/>
        <v>0</v>
      </c>
      <c r="G89" s="15">
        <f t="shared" si="73"/>
        <v>0</v>
      </c>
      <c r="Q89" s="3"/>
      <c r="R89" s="30" t="s">
        <v>104</v>
      </c>
      <c r="S89" s="30"/>
      <c r="T89" s="30"/>
      <c r="U89" s="30"/>
      <c r="V89" s="30"/>
      <c r="W89" s="30"/>
    </row>
    <row r="90" spans="1:26" ht="28.8" x14ac:dyDescent="0.3">
      <c r="Q90" s="10" t="s">
        <v>11</v>
      </c>
      <c r="R90" s="9" t="s">
        <v>4</v>
      </c>
      <c r="S90" s="23" t="s">
        <v>5</v>
      </c>
      <c r="T90" s="23" t="s">
        <v>54</v>
      </c>
      <c r="U90" s="23" t="s">
        <v>55</v>
      </c>
      <c r="V90" s="23" t="s">
        <v>57</v>
      </c>
      <c r="W90" s="23" t="s">
        <v>56</v>
      </c>
      <c r="X90" s="23" t="s">
        <v>58</v>
      </c>
      <c r="Y90" s="23" t="s">
        <v>59</v>
      </c>
    </row>
    <row r="91" spans="1:26" x14ac:dyDescent="0.3">
      <c r="Q91" s="2">
        <v>1</v>
      </c>
      <c r="R91" s="6" t="s">
        <v>0</v>
      </c>
      <c r="S91" s="12"/>
      <c r="T91" s="13">
        <f t="shared" ref="T91:T94" si="74">+S91</f>
        <v>0</v>
      </c>
      <c r="U91" s="12"/>
      <c r="V91" s="12"/>
      <c r="W91" s="12"/>
      <c r="X91" s="12">
        <f t="shared" ref="X91" si="75">+U91+V91+W91</f>
        <v>0</v>
      </c>
      <c r="Y91" s="12">
        <f t="shared" ref="Y91" si="76">+T91-X91</f>
        <v>0</v>
      </c>
    </row>
    <row r="92" spans="1:26" ht="18" x14ac:dyDescent="0.35">
      <c r="A92" s="3"/>
      <c r="B92" s="30" t="s">
        <v>35</v>
      </c>
      <c r="C92" s="30"/>
      <c r="D92" s="30"/>
      <c r="E92" s="30"/>
      <c r="F92" s="30"/>
      <c r="G92" s="30"/>
      <c r="Q92" s="2">
        <v>2</v>
      </c>
      <c r="R92" s="6" t="s">
        <v>1</v>
      </c>
      <c r="S92" s="12"/>
      <c r="T92" s="13">
        <f>+S92</f>
        <v>0</v>
      </c>
      <c r="U92" s="12"/>
      <c r="V92" s="12"/>
      <c r="W92" s="12"/>
      <c r="X92" s="12">
        <f>+U92+V92+W92</f>
        <v>0</v>
      </c>
      <c r="Y92" s="12">
        <f>+T92-X92</f>
        <v>0</v>
      </c>
    </row>
    <row r="93" spans="1:26" ht="28.8" x14ac:dyDescent="0.3">
      <c r="A93" s="10" t="s">
        <v>11</v>
      </c>
      <c r="B93" s="23" t="s">
        <v>4</v>
      </c>
      <c r="C93" s="14" t="s">
        <v>5</v>
      </c>
      <c r="D93" s="9" t="s">
        <v>6</v>
      </c>
      <c r="E93" s="9" t="s">
        <v>7</v>
      </c>
      <c r="F93" s="9" t="s">
        <v>8</v>
      </c>
      <c r="G93" s="9" t="s">
        <v>9</v>
      </c>
      <c r="Q93" s="2">
        <v>3</v>
      </c>
      <c r="R93" s="6" t="s">
        <v>2</v>
      </c>
      <c r="S93" s="12"/>
      <c r="T93" s="13">
        <f t="shared" si="74"/>
        <v>0</v>
      </c>
      <c r="U93" s="12"/>
      <c r="V93" s="12"/>
      <c r="W93" s="12"/>
      <c r="X93" s="12">
        <f t="shared" ref="X93:X94" si="77">+U93+V93+W93</f>
        <v>0</v>
      </c>
      <c r="Y93" s="12">
        <f t="shared" ref="Y93:Y94" si="78">+T93-X93</f>
        <v>0</v>
      </c>
    </row>
    <row r="94" spans="1:26" x14ac:dyDescent="0.3">
      <c r="A94" s="2">
        <v>1</v>
      </c>
      <c r="B94" s="25" t="s">
        <v>0</v>
      </c>
      <c r="C94" s="12">
        <f>19061.7+19061.7+0.05+0.05</f>
        <v>38123.500000000007</v>
      </c>
      <c r="D94" s="13">
        <v>0</v>
      </c>
      <c r="E94" s="13">
        <v>0</v>
      </c>
      <c r="F94" s="13">
        <v>0</v>
      </c>
      <c r="G94" s="13">
        <v>0</v>
      </c>
      <c r="Q94" s="2">
        <v>4</v>
      </c>
      <c r="R94" s="6" t="s">
        <v>3</v>
      </c>
      <c r="S94" s="12">
        <f>16795.58+8957.6</f>
        <v>25753.18</v>
      </c>
      <c r="T94" s="13">
        <f t="shared" si="74"/>
        <v>25753.18</v>
      </c>
      <c r="U94" s="12">
        <f>1366.08+3103.78</f>
        <v>4469.8600000000006</v>
      </c>
      <c r="V94" s="12">
        <v>256.22000000000003</v>
      </c>
      <c r="W94" s="12">
        <v>0.1</v>
      </c>
      <c r="X94" s="12">
        <f t="shared" si="77"/>
        <v>4726.1800000000012</v>
      </c>
      <c r="Y94" s="12">
        <f t="shared" si="78"/>
        <v>21027</v>
      </c>
      <c r="Z94" s="4">
        <f>7335.2+13691.8</f>
        <v>21027</v>
      </c>
    </row>
    <row r="95" spans="1:26" ht="18" x14ac:dyDescent="0.35">
      <c r="A95" s="2">
        <v>2</v>
      </c>
      <c r="B95" s="25" t="s">
        <v>1</v>
      </c>
      <c r="C95" s="12">
        <f>12387.9+12387.9</f>
        <v>24775.8</v>
      </c>
      <c r="D95" s="13">
        <v>0</v>
      </c>
      <c r="E95" s="13">
        <v>0</v>
      </c>
      <c r="F95" s="13">
        <v>0</v>
      </c>
      <c r="G95" s="13">
        <v>0</v>
      </c>
      <c r="Q95" s="1"/>
      <c r="R95" s="7" t="s">
        <v>10</v>
      </c>
      <c r="S95" s="8">
        <f>SUM(S91:S94)</f>
        <v>25753.18</v>
      </c>
      <c r="T95" s="8">
        <f t="shared" ref="T95:Y95" si="79">SUM(T91:T94)</f>
        <v>25753.18</v>
      </c>
      <c r="U95" s="8">
        <f t="shared" si="79"/>
        <v>4469.8600000000006</v>
      </c>
      <c r="V95" s="8">
        <f t="shared" si="79"/>
        <v>256.22000000000003</v>
      </c>
      <c r="W95" s="8">
        <f t="shared" si="79"/>
        <v>0.1</v>
      </c>
      <c r="X95" s="8">
        <f t="shared" si="79"/>
        <v>4726.1800000000012</v>
      </c>
      <c r="Y95" s="8">
        <f t="shared" si="79"/>
        <v>21027</v>
      </c>
    </row>
    <row r="96" spans="1:26" x14ac:dyDescent="0.3">
      <c r="A96" s="2">
        <v>3</v>
      </c>
      <c r="B96" s="25" t="s">
        <v>2</v>
      </c>
      <c r="C96" s="12">
        <f>12387.9+12387.9+0.15</f>
        <v>24775.95</v>
      </c>
      <c r="D96" s="13">
        <v>0</v>
      </c>
      <c r="E96" s="13">
        <v>0</v>
      </c>
      <c r="F96" s="13">
        <v>0</v>
      </c>
      <c r="G96" s="13">
        <v>0</v>
      </c>
    </row>
    <row r="97" spans="1:7" x14ac:dyDescent="0.3">
      <c r="A97" s="2">
        <v>4</v>
      </c>
      <c r="B97" s="25" t="s">
        <v>3</v>
      </c>
      <c r="C97" s="12">
        <f>8397.75+8397.75</f>
        <v>16795.5</v>
      </c>
      <c r="D97" s="13">
        <v>0</v>
      </c>
      <c r="E97" s="13">
        <v>0</v>
      </c>
      <c r="F97" s="13">
        <v>0</v>
      </c>
      <c r="G97" s="13">
        <v>0</v>
      </c>
    </row>
    <row r="98" spans="1:7" ht="18" x14ac:dyDescent="0.35">
      <c r="A98" s="1"/>
      <c r="B98" s="7" t="s">
        <v>10</v>
      </c>
      <c r="C98" s="15">
        <f>SUM(C94:C97)</f>
        <v>104470.75</v>
      </c>
      <c r="D98" s="15">
        <f t="shared" ref="D98:G98" si="80">SUM(D94:D97)</f>
        <v>0</v>
      </c>
      <c r="E98" s="15">
        <f t="shared" si="80"/>
        <v>0</v>
      </c>
      <c r="F98" s="15">
        <f t="shared" si="80"/>
        <v>0</v>
      </c>
      <c r="G98" s="15">
        <f t="shared" si="80"/>
        <v>0</v>
      </c>
    </row>
    <row r="101" spans="1:7" ht="18" x14ac:dyDescent="0.35">
      <c r="A101" s="3"/>
      <c r="B101" s="30" t="s">
        <v>36</v>
      </c>
      <c r="C101" s="30"/>
      <c r="D101" s="30"/>
      <c r="E101" s="30"/>
      <c r="F101" s="30"/>
      <c r="G101" s="30"/>
    </row>
    <row r="102" spans="1:7" ht="28.8" x14ac:dyDescent="0.3">
      <c r="A102" s="10" t="s">
        <v>11</v>
      </c>
      <c r="B102" s="23" t="s">
        <v>4</v>
      </c>
      <c r="C102" s="14" t="s">
        <v>5</v>
      </c>
      <c r="D102" s="9" t="s">
        <v>6</v>
      </c>
      <c r="E102" s="9" t="s">
        <v>7</v>
      </c>
      <c r="F102" s="9" t="s">
        <v>8</v>
      </c>
      <c r="G102" s="9" t="s">
        <v>9</v>
      </c>
    </row>
    <row r="103" spans="1:7" x14ac:dyDescent="0.3">
      <c r="A103" s="2">
        <v>1</v>
      </c>
      <c r="B103" s="25" t="s">
        <v>0</v>
      </c>
      <c r="C103" s="12">
        <f>19061.7+20332.48+0.07</f>
        <v>39394.25</v>
      </c>
      <c r="D103" s="13">
        <v>0</v>
      </c>
      <c r="E103" s="13">
        <v>0</v>
      </c>
      <c r="F103" s="13">
        <v>0</v>
      </c>
      <c r="G103" s="12">
        <f>38123.4+0.01</f>
        <v>38123.410000000003</v>
      </c>
    </row>
    <row r="104" spans="1:7" x14ac:dyDescent="0.3">
      <c r="A104" s="2">
        <v>2</v>
      </c>
      <c r="B104" s="25" t="s">
        <v>1</v>
      </c>
      <c r="C104" s="12">
        <f>13213.76+12387.9+0.15+0.02</f>
        <v>25601.83</v>
      </c>
      <c r="D104" s="13">
        <v>0</v>
      </c>
      <c r="E104" s="13">
        <v>0</v>
      </c>
      <c r="F104" s="13">
        <v>0</v>
      </c>
      <c r="G104" s="12">
        <f>0.01+24775.8</f>
        <v>24775.809999999998</v>
      </c>
    </row>
    <row r="105" spans="1:7" x14ac:dyDescent="0.3">
      <c r="A105" s="2">
        <v>3</v>
      </c>
      <c r="B105" s="25" t="s">
        <v>2</v>
      </c>
      <c r="C105" s="12">
        <f>13213.76+12387.9+0.02</f>
        <v>25601.68</v>
      </c>
      <c r="D105" s="13">
        <v>0</v>
      </c>
      <c r="E105" s="13">
        <v>0</v>
      </c>
      <c r="F105" s="13">
        <v>0</v>
      </c>
      <c r="G105" s="12">
        <f>0.01+24775.8</f>
        <v>24775.809999999998</v>
      </c>
    </row>
    <row r="106" spans="1:7" x14ac:dyDescent="0.3">
      <c r="A106" s="2">
        <v>4</v>
      </c>
      <c r="B106" s="25" t="s">
        <v>3</v>
      </c>
      <c r="C106" s="12">
        <f>8957.6+8397.75+0.08</f>
        <v>17355.43</v>
      </c>
      <c r="D106" s="13">
        <v>0</v>
      </c>
      <c r="E106" s="13">
        <v>0</v>
      </c>
      <c r="F106" s="13">
        <v>0</v>
      </c>
      <c r="G106" s="12">
        <v>16795.5</v>
      </c>
    </row>
    <row r="107" spans="1:7" ht="18" x14ac:dyDescent="0.35">
      <c r="A107" s="1"/>
      <c r="B107" s="7" t="s">
        <v>10</v>
      </c>
      <c r="C107" s="15">
        <f>SUM(C103:C106)</f>
        <v>107953.19</v>
      </c>
      <c r="D107" s="15">
        <f t="shared" ref="D107:G107" si="81">SUM(D103:D106)</f>
        <v>0</v>
      </c>
      <c r="E107" s="15">
        <f t="shared" si="81"/>
        <v>0</v>
      </c>
      <c r="F107" s="15">
        <f t="shared" si="81"/>
        <v>0</v>
      </c>
      <c r="G107" s="15">
        <f t="shared" si="81"/>
        <v>104470.53</v>
      </c>
    </row>
  </sheetData>
  <mergeCells count="24">
    <mergeCell ref="R81:W81"/>
    <mergeCell ref="R89:W89"/>
    <mergeCell ref="R42:W42"/>
    <mergeCell ref="R50:W50"/>
    <mergeCell ref="R57:W57"/>
    <mergeCell ref="R65:W65"/>
    <mergeCell ref="R73:W73"/>
    <mergeCell ref="R2:W2"/>
    <mergeCell ref="R10:W10"/>
    <mergeCell ref="R18:W18"/>
    <mergeCell ref="R26:W26"/>
    <mergeCell ref="R34:W34"/>
    <mergeCell ref="B38:G38"/>
    <mergeCell ref="J2:O2"/>
    <mergeCell ref="J11:O11"/>
    <mergeCell ref="J20:O20"/>
    <mergeCell ref="J29:O29"/>
    <mergeCell ref="B101:G101"/>
    <mergeCell ref="B47:G47"/>
    <mergeCell ref="B56:G56"/>
    <mergeCell ref="B65:G65"/>
    <mergeCell ref="B74:G74"/>
    <mergeCell ref="B83:G83"/>
    <mergeCell ref="B92:G92"/>
  </mergeCells>
  <pageMargins left="0.7" right="0.7" top="0.75" bottom="0.75" header="0.3" footer="0.3"/>
  <pageSetup orientation="portrait" horizontalDpi="0" verticalDpi="0" r:id="rId1"/>
  <drawing r:id="rId2"/>
  <legacyDrawing r:id="rId3"/>
  <controls>
    <mc:AlternateContent xmlns:mc="http://schemas.openxmlformats.org/markup-compatibility/2006">
      <mc:Choice Requires="x14">
        <control shapeId="1052" r:id="rId4" name="Control 28">
          <controlPr defaultSize="0" r:id="rId5">
            <anchor moveWithCells="1">
              <from>
                <xdr:col>1</xdr:col>
                <xdr:colOff>7620</xdr:colOff>
                <xdr:row>31</xdr:row>
                <xdr:rowOff>22860</xdr:rowOff>
              </from>
              <to>
                <xdr:col>1</xdr:col>
                <xdr:colOff>190500</xdr:colOff>
                <xdr:row>31</xdr:row>
                <xdr:rowOff>220980</xdr:rowOff>
              </to>
            </anchor>
          </controlPr>
        </control>
      </mc:Choice>
      <mc:Fallback>
        <control shapeId="1052" r:id="rId4" name="Control 28"/>
      </mc:Fallback>
    </mc:AlternateContent>
    <mc:AlternateContent xmlns:mc="http://schemas.openxmlformats.org/markup-compatibility/2006">
      <mc:Choice Requires="x14">
        <control shapeId="1051" r:id="rId6" name="Control 27">
          <controlPr defaultSize="0" r:id="rId5">
            <anchor moveWithCells="1">
              <from>
                <xdr:col>1</xdr:col>
                <xdr:colOff>7620</xdr:colOff>
                <xdr:row>29</xdr:row>
                <xdr:rowOff>198120</xdr:rowOff>
              </from>
              <to>
                <xdr:col>1</xdr:col>
                <xdr:colOff>190500</xdr:colOff>
                <xdr:row>30</xdr:row>
                <xdr:rowOff>30480</xdr:rowOff>
              </to>
            </anchor>
          </controlPr>
        </control>
      </mc:Choice>
      <mc:Fallback>
        <control shapeId="1051" r:id="rId6" name="Control 27"/>
      </mc:Fallback>
    </mc:AlternateContent>
    <mc:AlternateContent xmlns:mc="http://schemas.openxmlformats.org/markup-compatibility/2006">
      <mc:Choice Requires="x14">
        <control shapeId="1050" r:id="rId7" name="Control 26">
          <controlPr defaultSize="0" r:id="rId5">
            <anchor moveWithCells="1">
              <from>
                <xdr:col>1</xdr:col>
                <xdr:colOff>7620</xdr:colOff>
                <xdr:row>28</xdr:row>
                <xdr:rowOff>198120</xdr:rowOff>
              </from>
              <to>
                <xdr:col>1</xdr:col>
                <xdr:colOff>190500</xdr:colOff>
                <xdr:row>29</xdr:row>
                <xdr:rowOff>160020</xdr:rowOff>
              </to>
            </anchor>
          </controlPr>
        </control>
      </mc:Choice>
      <mc:Fallback>
        <control shapeId="1050" r:id="rId7" name="Control 26"/>
      </mc:Fallback>
    </mc:AlternateContent>
    <mc:AlternateContent xmlns:mc="http://schemas.openxmlformats.org/markup-compatibility/2006">
      <mc:Choice Requires="x14">
        <control shapeId="1049" r:id="rId8" name="Control 25">
          <controlPr defaultSize="0" r:id="rId5">
            <anchor moveWithCells="1">
              <from>
                <xdr:col>1</xdr:col>
                <xdr:colOff>7620</xdr:colOff>
                <xdr:row>28</xdr:row>
                <xdr:rowOff>15240</xdr:rowOff>
              </from>
              <to>
                <xdr:col>1</xdr:col>
                <xdr:colOff>190500</xdr:colOff>
                <xdr:row>28</xdr:row>
                <xdr:rowOff>213360</xdr:rowOff>
              </to>
            </anchor>
          </controlPr>
        </control>
      </mc:Choice>
      <mc:Fallback>
        <control shapeId="1049" r:id="rId8" name="Control 25"/>
      </mc:Fallback>
    </mc:AlternateContent>
    <mc:AlternateContent xmlns:mc="http://schemas.openxmlformats.org/markup-compatibility/2006">
      <mc:Choice Requires="x14">
        <control shapeId="1048" r:id="rId9" name="Control 24">
          <controlPr defaultSize="0" r:id="rId10">
            <anchor moveWithCells="1">
              <from>
                <xdr:col>1</xdr:col>
                <xdr:colOff>7620</xdr:colOff>
                <xdr:row>26</xdr:row>
                <xdr:rowOff>182880</xdr:rowOff>
              </from>
              <to>
                <xdr:col>1</xdr:col>
                <xdr:colOff>190500</xdr:colOff>
                <xdr:row>27</xdr:row>
                <xdr:rowOff>22860</xdr:rowOff>
              </to>
            </anchor>
          </controlPr>
        </control>
      </mc:Choice>
      <mc:Fallback>
        <control shapeId="1048" r:id="rId9" name="Control 24"/>
      </mc:Fallback>
    </mc:AlternateContent>
    <mc:AlternateContent xmlns:mc="http://schemas.openxmlformats.org/markup-compatibility/2006">
      <mc:Choice Requires="x14">
        <control shapeId="1047" r:id="rId11" name="Control 23">
          <controlPr defaultSize="0" r:id="rId5">
            <anchor moveWithCells="1">
              <from>
                <xdr:col>1</xdr:col>
                <xdr:colOff>7620</xdr:colOff>
                <xdr:row>25</xdr:row>
                <xdr:rowOff>152400</xdr:rowOff>
              </from>
              <to>
                <xdr:col>1</xdr:col>
                <xdr:colOff>190500</xdr:colOff>
                <xdr:row>26</xdr:row>
                <xdr:rowOff>121920</xdr:rowOff>
              </to>
            </anchor>
          </controlPr>
        </control>
      </mc:Choice>
      <mc:Fallback>
        <control shapeId="1047" r:id="rId11" name="Control 23"/>
      </mc:Fallback>
    </mc:AlternateContent>
    <mc:AlternateContent xmlns:mc="http://schemas.openxmlformats.org/markup-compatibility/2006">
      <mc:Choice Requires="x14">
        <control shapeId="1046" r:id="rId12" name="Control 22">
          <controlPr defaultSize="0" r:id="rId5">
            <anchor moveWithCells="1">
              <from>
                <xdr:col>1</xdr:col>
                <xdr:colOff>7620</xdr:colOff>
                <xdr:row>24</xdr:row>
                <xdr:rowOff>152400</xdr:rowOff>
              </from>
              <to>
                <xdr:col>1</xdr:col>
                <xdr:colOff>190500</xdr:colOff>
                <xdr:row>25</xdr:row>
                <xdr:rowOff>167640</xdr:rowOff>
              </to>
            </anchor>
          </controlPr>
        </control>
      </mc:Choice>
      <mc:Fallback>
        <control shapeId="1046" r:id="rId12" name="Control 22"/>
      </mc:Fallback>
    </mc:AlternateContent>
    <mc:AlternateContent xmlns:mc="http://schemas.openxmlformats.org/markup-compatibility/2006">
      <mc:Choice Requires="x14">
        <control shapeId="1045" r:id="rId13" name="Control 21">
          <controlPr defaultSize="0" r:id="rId5">
            <anchor moveWithCells="1">
              <from>
                <xdr:col>1</xdr:col>
                <xdr:colOff>7620</xdr:colOff>
                <xdr:row>23</xdr:row>
                <xdr:rowOff>144780</xdr:rowOff>
              </from>
              <to>
                <xdr:col>1</xdr:col>
                <xdr:colOff>190500</xdr:colOff>
                <xdr:row>24</xdr:row>
                <xdr:rowOff>114300</xdr:rowOff>
              </to>
            </anchor>
          </controlPr>
        </control>
      </mc:Choice>
      <mc:Fallback>
        <control shapeId="1045" r:id="rId13" name="Control 21"/>
      </mc:Fallback>
    </mc:AlternateContent>
    <mc:AlternateContent xmlns:mc="http://schemas.openxmlformats.org/markup-compatibility/2006">
      <mc:Choice Requires="x14">
        <control shapeId="1044" r:id="rId14" name="Control 20">
          <controlPr defaultSize="0" r:id="rId5">
            <anchor moveWithCells="1">
              <from>
                <xdr:col>1</xdr:col>
                <xdr:colOff>7620</xdr:colOff>
                <xdr:row>22</xdr:row>
                <xdr:rowOff>144780</xdr:rowOff>
              </from>
              <to>
                <xdr:col>1</xdr:col>
                <xdr:colOff>190500</xdr:colOff>
                <xdr:row>23</xdr:row>
                <xdr:rowOff>160020</xdr:rowOff>
              </to>
            </anchor>
          </controlPr>
        </control>
      </mc:Choice>
      <mc:Fallback>
        <control shapeId="1044" r:id="rId14" name="Control 20"/>
      </mc:Fallback>
    </mc:AlternateContent>
    <mc:AlternateContent xmlns:mc="http://schemas.openxmlformats.org/markup-compatibility/2006">
      <mc:Choice Requires="x14">
        <control shapeId="1043" r:id="rId15" name="Control 19">
          <controlPr defaultSize="0" r:id="rId10">
            <anchor moveWithCells="1">
              <from>
                <xdr:col>1</xdr:col>
                <xdr:colOff>7620</xdr:colOff>
                <xdr:row>21</xdr:row>
                <xdr:rowOff>129540</xdr:rowOff>
              </from>
              <to>
                <xdr:col>1</xdr:col>
                <xdr:colOff>190500</xdr:colOff>
                <xdr:row>22</xdr:row>
                <xdr:rowOff>152400</xdr:rowOff>
              </to>
            </anchor>
          </controlPr>
        </control>
      </mc:Choice>
      <mc:Fallback>
        <control shapeId="1043" r:id="rId15" name="Control 19"/>
      </mc:Fallback>
    </mc:AlternateContent>
    <mc:AlternateContent xmlns:mc="http://schemas.openxmlformats.org/markup-compatibility/2006">
      <mc:Choice Requires="x14">
        <control shapeId="1042" r:id="rId16" name="Control 18">
          <controlPr defaultSize="0" r:id="rId5">
            <anchor moveWithCells="1">
              <from>
                <xdr:col>1</xdr:col>
                <xdr:colOff>7620</xdr:colOff>
                <xdr:row>20</xdr:row>
                <xdr:rowOff>114300</xdr:rowOff>
              </from>
              <to>
                <xdr:col>1</xdr:col>
                <xdr:colOff>190500</xdr:colOff>
                <xdr:row>20</xdr:row>
                <xdr:rowOff>312420</xdr:rowOff>
              </to>
            </anchor>
          </controlPr>
        </control>
      </mc:Choice>
      <mc:Fallback>
        <control shapeId="1042" r:id="rId16" name="Control 18"/>
      </mc:Fallback>
    </mc:AlternateContent>
    <mc:AlternateContent xmlns:mc="http://schemas.openxmlformats.org/markup-compatibility/2006">
      <mc:Choice Requires="x14">
        <control shapeId="1041" r:id="rId17" name="Control 17">
          <controlPr defaultSize="0" r:id="rId5">
            <anchor moveWithCells="1">
              <from>
                <xdr:col>1</xdr:col>
                <xdr:colOff>7620</xdr:colOff>
                <xdr:row>19</xdr:row>
                <xdr:rowOff>129540</xdr:rowOff>
              </from>
              <to>
                <xdr:col>1</xdr:col>
                <xdr:colOff>190500</xdr:colOff>
                <xdr:row>20</xdr:row>
                <xdr:rowOff>99060</xdr:rowOff>
              </to>
            </anchor>
          </controlPr>
        </control>
      </mc:Choice>
      <mc:Fallback>
        <control shapeId="1041" r:id="rId17" name="Control 17"/>
      </mc:Fallback>
    </mc:AlternateContent>
    <mc:AlternateContent xmlns:mc="http://schemas.openxmlformats.org/markup-compatibility/2006">
      <mc:Choice Requires="x14">
        <control shapeId="1040" r:id="rId18" name="Control 16">
          <controlPr defaultSize="0" r:id="rId5">
            <anchor moveWithCells="1">
              <from>
                <xdr:col>1</xdr:col>
                <xdr:colOff>7620</xdr:colOff>
                <xdr:row>18</xdr:row>
                <xdr:rowOff>106680</xdr:rowOff>
              </from>
              <to>
                <xdr:col>1</xdr:col>
                <xdr:colOff>190500</xdr:colOff>
                <xdr:row>18</xdr:row>
                <xdr:rowOff>304800</xdr:rowOff>
              </to>
            </anchor>
          </controlPr>
        </control>
      </mc:Choice>
      <mc:Fallback>
        <control shapeId="1040" r:id="rId18" name="Control 16"/>
      </mc:Fallback>
    </mc:AlternateContent>
    <mc:AlternateContent xmlns:mc="http://schemas.openxmlformats.org/markup-compatibility/2006">
      <mc:Choice Requires="x14">
        <control shapeId="1039" r:id="rId19" name="Control 15">
          <controlPr defaultSize="0" r:id="rId5">
            <anchor moveWithCells="1">
              <from>
                <xdr:col>1</xdr:col>
                <xdr:colOff>7620</xdr:colOff>
                <xdr:row>17</xdr:row>
                <xdr:rowOff>99060</xdr:rowOff>
              </from>
              <to>
                <xdr:col>1</xdr:col>
                <xdr:colOff>190500</xdr:colOff>
                <xdr:row>18</xdr:row>
                <xdr:rowOff>68580</xdr:rowOff>
              </to>
            </anchor>
          </controlPr>
        </control>
      </mc:Choice>
      <mc:Fallback>
        <control shapeId="1039" r:id="rId19" name="Control 15"/>
      </mc:Fallback>
    </mc:AlternateContent>
    <mc:AlternateContent xmlns:mc="http://schemas.openxmlformats.org/markup-compatibility/2006">
      <mc:Choice Requires="x14">
        <control shapeId="1038" r:id="rId20" name="Control 14">
          <controlPr defaultSize="0" r:id="rId5">
            <anchor moveWithCells="1">
              <from>
                <xdr:col>1</xdr:col>
                <xdr:colOff>7620</xdr:colOff>
                <xdr:row>15</xdr:row>
                <xdr:rowOff>99060</xdr:rowOff>
              </from>
              <to>
                <xdr:col>1</xdr:col>
                <xdr:colOff>190500</xdr:colOff>
                <xdr:row>16</xdr:row>
                <xdr:rowOff>68580</xdr:rowOff>
              </to>
            </anchor>
          </controlPr>
        </control>
      </mc:Choice>
      <mc:Fallback>
        <control shapeId="1038" r:id="rId20" name="Control 14"/>
      </mc:Fallback>
    </mc:AlternateContent>
    <mc:AlternateContent xmlns:mc="http://schemas.openxmlformats.org/markup-compatibility/2006">
      <mc:Choice Requires="x14">
        <control shapeId="1037" r:id="rId21" name="Control 13">
          <controlPr defaultSize="0" r:id="rId5">
            <anchor moveWithCells="1">
              <from>
                <xdr:col>1</xdr:col>
                <xdr:colOff>7620</xdr:colOff>
                <xdr:row>14</xdr:row>
                <xdr:rowOff>91440</xdr:rowOff>
              </from>
              <to>
                <xdr:col>1</xdr:col>
                <xdr:colOff>190500</xdr:colOff>
                <xdr:row>15</xdr:row>
                <xdr:rowOff>106680</xdr:rowOff>
              </to>
            </anchor>
          </controlPr>
        </control>
      </mc:Choice>
      <mc:Fallback>
        <control shapeId="1037" r:id="rId21" name="Control 13"/>
      </mc:Fallback>
    </mc:AlternateContent>
    <mc:AlternateContent xmlns:mc="http://schemas.openxmlformats.org/markup-compatibility/2006">
      <mc:Choice Requires="x14">
        <control shapeId="1036" r:id="rId22" name="Control 12">
          <controlPr defaultSize="0" r:id="rId5">
            <anchor moveWithCells="1">
              <from>
                <xdr:col>1</xdr:col>
                <xdr:colOff>7620</xdr:colOff>
                <xdr:row>13</xdr:row>
                <xdr:rowOff>91440</xdr:rowOff>
              </from>
              <to>
                <xdr:col>1</xdr:col>
                <xdr:colOff>190500</xdr:colOff>
                <xdr:row>14</xdr:row>
                <xdr:rowOff>106680</xdr:rowOff>
              </to>
            </anchor>
          </controlPr>
        </control>
      </mc:Choice>
      <mc:Fallback>
        <control shapeId="1036" r:id="rId22" name="Control 12"/>
      </mc:Fallback>
    </mc:AlternateContent>
    <mc:AlternateContent xmlns:mc="http://schemas.openxmlformats.org/markup-compatibility/2006">
      <mc:Choice Requires="x14">
        <control shapeId="1035" r:id="rId23" name="Control 11">
          <controlPr defaultSize="0" r:id="rId5">
            <anchor moveWithCells="1">
              <from>
                <xdr:col>1</xdr:col>
                <xdr:colOff>7620</xdr:colOff>
                <xdr:row>12</xdr:row>
                <xdr:rowOff>83820</xdr:rowOff>
              </from>
              <to>
                <xdr:col>1</xdr:col>
                <xdr:colOff>190500</xdr:colOff>
                <xdr:row>13</xdr:row>
                <xdr:rowOff>99060</xdr:rowOff>
              </to>
            </anchor>
          </controlPr>
        </control>
      </mc:Choice>
      <mc:Fallback>
        <control shapeId="1035" r:id="rId23" name="Control 11"/>
      </mc:Fallback>
    </mc:AlternateContent>
    <mc:AlternateContent xmlns:mc="http://schemas.openxmlformats.org/markup-compatibility/2006">
      <mc:Choice Requires="x14">
        <control shapeId="1034" r:id="rId24" name="Control 10">
          <controlPr defaultSize="0" r:id="rId5">
            <anchor moveWithCells="1">
              <from>
                <xdr:col>1</xdr:col>
                <xdr:colOff>7620</xdr:colOff>
                <xdr:row>11</xdr:row>
                <xdr:rowOff>76200</xdr:rowOff>
              </from>
              <to>
                <xdr:col>1</xdr:col>
                <xdr:colOff>190500</xdr:colOff>
                <xdr:row>11</xdr:row>
                <xdr:rowOff>274320</xdr:rowOff>
              </to>
            </anchor>
          </controlPr>
        </control>
      </mc:Choice>
      <mc:Fallback>
        <control shapeId="1034" r:id="rId24" name="Control 10"/>
      </mc:Fallback>
    </mc:AlternateContent>
    <mc:AlternateContent xmlns:mc="http://schemas.openxmlformats.org/markup-compatibility/2006">
      <mc:Choice Requires="x14">
        <control shapeId="1033" r:id="rId25" name="Control 9">
          <controlPr defaultSize="0" r:id="rId5">
            <anchor moveWithCells="1">
              <from>
                <xdr:col>1</xdr:col>
                <xdr:colOff>7620</xdr:colOff>
                <xdr:row>10</xdr:row>
                <xdr:rowOff>76200</xdr:rowOff>
              </from>
              <to>
                <xdr:col>1</xdr:col>
                <xdr:colOff>190500</xdr:colOff>
                <xdr:row>10</xdr:row>
                <xdr:rowOff>274320</xdr:rowOff>
              </to>
            </anchor>
          </controlPr>
        </control>
      </mc:Choice>
      <mc:Fallback>
        <control shapeId="1033" r:id="rId25" name="Control 9"/>
      </mc:Fallback>
    </mc:AlternateContent>
    <mc:AlternateContent xmlns:mc="http://schemas.openxmlformats.org/markup-compatibility/2006">
      <mc:Choice Requires="x14">
        <control shapeId="1032" r:id="rId26" name="Control 8">
          <controlPr defaultSize="0" r:id="rId5">
            <anchor moveWithCells="1">
              <from>
                <xdr:col>1</xdr:col>
                <xdr:colOff>7620</xdr:colOff>
                <xdr:row>9</xdr:row>
                <xdr:rowOff>60960</xdr:rowOff>
              </from>
              <to>
                <xdr:col>1</xdr:col>
                <xdr:colOff>190500</xdr:colOff>
                <xdr:row>10</xdr:row>
                <xdr:rowOff>30480</xdr:rowOff>
              </to>
            </anchor>
          </controlPr>
        </control>
      </mc:Choice>
      <mc:Fallback>
        <control shapeId="1032" r:id="rId26" name="Control 8"/>
      </mc:Fallback>
    </mc:AlternateContent>
    <mc:AlternateContent xmlns:mc="http://schemas.openxmlformats.org/markup-compatibility/2006">
      <mc:Choice Requires="x14">
        <control shapeId="1031" r:id="rId27" name="Control 7">
          <controlPr defaultSize="0" r:id="rId5">
            <anchor moveWithCells="1">
              <from>
                <xdr:col>1</xdr:col>
                <xdr:colOff>7620</xdr:colOff>
                <xdr:row>8</xdr:row>
                <xdr:rowOff>60960</xdr:rowOff>
              </from>
              <to>
                <xdr:col>1</xdr:col>
                <xdr:colOff>190500</xdr:colOff>
                <xdr:row>9</xdr:row>
                <xdr:rowOff>76200</xdr:rowOff>
              </to>
            </anchor>
          </controlPr>
        </control>
      </mc:Choice>
      <mc:Fallback>
        <control shapeId="1031" r:id="rId27" name="Control 7"/>
      </mc:Fallback>
    </mc:AlternateContent>
    <mc:AlternateContent xmlns:mc="http://schemas.openxmlformats.org/markup-compatibility/2006">
      <mc:Choice Requires="x14">
        <control shapeId="1030" r:id="rId28" name="Control 6">
          <controlPr defaultSize="0" r:id="rId5">
            <anchor moveWithCells="1">
              <from>
                <xdr:col>1</xdr:col>
                <xdr:colOff>7620</xdr:colOff>
                <xdr:row>7</xdr:row>
                <xdr:rowOff>38100</xdr:rowOff>
              </from>
              <to>
                <xdr:col>1</xdr:col>
                <xdr:colOff>190500</xdr:colOff>
                <xdr:row>8</xdr:row>
                <xdr:rowOff>7620</xdr:rowOff>
              </to>
            </anchor>
          </controlPr>
        </control>
      </mc:Choice>
      <mc:Fallback>
        <control shapeId="1030" r:id="rId28" name="Control 6"/>
      </mc:Fallback>
    </mc:AlternateContent>
    <mc:AlternateContent xmlns:mc="http://schemas.openxmlformats.org/markup-compatibility/2006">
      <mc:Choice Requires="x14">
        <control shapeId="1029" r:id="rId29" name="Control 5">
          <controlPr defaultSize="0" r:id="rId10">
            <anchor moveWithCells="1">
              <from>
                <xdr:col>1</xdr:col>
                <xdr:colOff>7620</xdr:colOff>
                <xdr:row>6</xdr:row>
                <xdr:rowOff>15240</xdr:rowOff>
              </from>
              <to>
                <xdr:col>1</xdr:col>
                <xdr:colOff>190500</xdr:colOff>
                <xdr:row>7</xdr:row>
                <xdr:rowOff>38100</xdr:rowOff>
              </to>
            </anchor>
          </controlPr>
        </control>
      </mc:Choice>
      <mc:Fallback>
        <control shapeId="1029" r:id="rId29" name="Control 5"/>
      </mc:Fallback>
    </mc:AlternateContent>
    <mc:AlternateContent xmlns:mc="http://schemas.openxmlformats.org/markup-compatibility/2006">
      <mc:Choice Requires="x14">
        <control shapeId="1028" r:id="rId30" name="Control 4">
          <controlPr defaultSize="0" r:id="rId5">
            <anchor moveWithCells="1">
              <from>
                <xdr:col>1</xdr:col>
                <xdr:colOff>7620</xdr:colOff>
                <xdr:row>5</xdr:row>
                <xdr:rowOff>15240</xdr:rowOff>
              </from>
              <to>
                <xdr:col>1</xdr:col>
                <xdr:colOff>190500</xdr:colOff>
                <xdr:row>6</xdr:row>
                <xdr:rowOff>30480</xdr:rowOff>
              </to>
            </anchor>
          </controlPr>
        </control>
      </mc:Choice>
      <mc:Fallback>
        <control shapeId="1028" r:id="rId30" name="Control 4"/>
      </mc:Fallback>
    </mc:AlternateContent>
    <mc:AlternateContent xmlns:mc="http://schemas.openxmlformats.org/markup-compatibility/2006">
      <mc:Choice Requires="x14">
        <control shapeId="1027" r:id="rId31" name="Control 3">
          <controlPr defaultSize="0" r:id="rId5">
            <anchor moveWithCells="1">
              <from>
                <xdr:col>1</xdr:col>
                <xdr:colOff>7620</xdr:colOff>
                <xdr:row>4</xdr:row>
                <xdr:rowOff>7620</xdr:rowOff>
              </from>
              <to>
                <xdr:col>1</xdr:col>
                <xdr:colOff>190500</xdr:colOff>
                <xdr:row>5</xdr:row>
                <xdr:rowOff>22860</xdr:rowOff>
              </to>
            </anchor>
          </controlPr>
        </control>
      </mc:Choice>
      <mc:Fallback>
        <control shapeId="1027" r:id="rId31" name="Control 3"/>
      </mc:Fallback>
    </mc:AlternateContent>
    <mc:AlternateContent xmlns:mc="http://schemas.openxmlformats.org/markup-compatibility/2006">
      <mc:Choice Requires="x14">
        <control shapeId="1026" r:id="rId32" name="Control 2">
          <controlPr defaultSize="0" r:id="rId5">
            <anchor moveWithCells="1">
              <from>
                <xdr:col>1</xdr:col>
                <xdr:colOff>7620</xdr:colOff>
                <xdr:row>3</xdr:row>
                <xdr:rowOff>7620</xdr:rowOff>
              </from>
              <to>
                <xdr:col>1</xdr:col>
                <xdr:colOff>190500</xdr:colOff>
                <xdr:row>4</xdr:row>
                <xdr:rowOff>22860</xdr:rowOff>
              </to>
            </anchor>
          </controlPr>
        </control>
      </mc:Choice>
      <mc:Fallback>
        <control shapeId="1026" r:id="rId32" name="Control 2"/>
      </mc:Fallback>
    </mc:AlternateContent>
    <mc:AlternateContent xmlns:mc="http://schemas.openxmlformats.org/markup-compatibility/2006">
      <mc:Choice Requires="x14">
        <control shapeId="1025" r:id="rId33" name="Control 1">
          <controlPr defaultSize="0" r:id="rId5">
            <anchor moveWithCells="1">
              <from>
                <xdr:col>1</xdr:col>
                <xdr:colOff>7620</xdr:colOff>
                <xdr:row>2</xdr:row>
                <xdr:rowOff>0</xdr:rowOff>
              </from>
              <to>
                <xdr:col>1</xdr:col>
                <xdr:colOff>190500</xdr:colOff>
                <xdr:row>2</xdr:row>
                <xdr:rowOff>198120</xdr:rowOff>
              </to>
            </anchor>
          </controlPr>
        </control>
      </mc:Choice>
      <mc:Fallback>
        <control shapeId="1025" r:id="rId33" name="Control 1"/>
      </mc:Fallback>
    </mc:AlternateContent>
  </control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30C641-9B9B-4C06-B1FB-E2A3D74A99FF}">
  <sheetPr codeName="Hoja2"/>
  <dimension ref="A2:S100"/>
  <sheetViews>
    <sheetView topLeftCell="F1" zoomScale="90" zoomScaleNormal="90" workbookViewId="0">
      <selection activeCell="T7" sqref="T7"/>
    </sheetView>
  </sheetViews>
  <sheetFormatPr baseColWidth="10" defaultColWidth="11.44140625" defaultRowHeight="14.4" x14ac:dyDescent="0.3"/>
  <cols>
    <col min="1" max="1" width="4.6640625" style="5" customWidth="1"/>
    <col min="2" max="2" width="41.5546875" style="5" customWidth="1"/>
    <col min="3" max="3" width="18.33203125" style="5" customWidth="1"/>
    <col min="4" max="4" width="16.44140625" style="5" customWidth="1"/>
    <col min="5" max="5" width="16.33203125" style="5" customWidth="1"/>
    <col min="6" max="6" width="16.5546875" style="5" customWidth="1"/>
    <col min="7" max="7" width="16.109375" style="5" customWidth="1"/>
    <col min="8" max="10" width="3.44140625" style="5" customWidth="1"/>
    <col min="11" max="11" width="4.88671875" customWidth="1"/>
    <col min="12" max="12" width="30" customWidth="1"/>
    <col min="13" max="14" width="16.109375" customWidth="1"/>
    <col min="15" max="16" width="15.5546875" customWidth="1"/>
    <col min="17" max="17" width="11.5546875"/>
    <col min="18" max="18" width="14.6640625" customWidth="1"/>
    <col min="19" max="19" width="16.33203125" customWidth="1"/>
    <col min="20" max="16384" width="11.44140625" style="5"/>
  </cols>
  <sheetData>
    <row r="2" spans="1:19" customFormat="1" ht="18" x14ac:dyDescent="0.35">
      <c r="A2" s="3"/>
      <c r="B2" s="30" t="s">
        <v>37</v>
      </c>
      <c r="C2" s="30"/>
      <c r="D2" s="30"/>
      <c r="E2" s="30"/>
      <c r="F2" s="30"/>
      <c r="G2" s="30"/>
      <c r="K2" s="3"/>
      <c r="L2" s="30" t="s">
        <v>81</v>
      </c>
      <c r="M2" s="30"/>
      <c r="N2" s="30"/>
      <c r="O2" s="30"/>
      <c r="P2" s="30"/>
      <c r="Q2" s="30"/>
    </row>
    <row r="3" spans="1:19" customFormat="1" ht="28.8" x14ac:dyDescent="0.3">
      <c r="A3" s="10" t="s">
        <v>11</v>
      </c>
      <c r="B3" s="9" t="s">
        <v>4</v>
      </c>
      <c r="C3" s="14" t="s">
        <v>5</v>
      </c>
      <c r="D3" s="9" t="s">
        <v>6</v>
      </c>
      <c r="E3" s="9" t="s">
        <v>7</v>
      </c>
      <c r="F3" s="9" t="s">
        <v>8</v>
      </c>
      <c r="G3" s="9" t="s">
        <v>9</v>
      </c>
      <c r="K3" s="10" t="s">
        <v>11</v>
      </c>
      <c r="L3" s="9" t="s">
        <v>4</v>
      </c>
      <c r="M3" s="23" t="s">
        <v>5</v>
      </c>
      <c r="N3" s="23" t="s">
        <v>54</v>
      </c>
      <c r="O3" s="23" t="s">
        <v>55</v>
      </c>
      <c r="P3" s="23" t="s">
        <v>57</v>
      </c>
      <c r="Q3" s="23" t="s">
        <v>56</v>
      </c>
      <c r="R3" s="23" t="s">
        <v>58</v>
      </c>
      <c r="S3" s="23" t="s">
        <v>59</v>
      </c>
    </row>
    <row r="4" spans="1:19" customFormat="1" x14ac:dyDescent="0.3">
      <c r="A4" s="2">
        <v>1</v>
      </c>
      <c r="B4" s="6" t="s">
        <v>0</v>
      </c>
      <c r="C4" s="12">
        <f>22199.04+20811.6+0.07</f>
        <v>43010.71</v>
      </c>
      <c r="D4" s="13">
        <v>0</v>
      </c>
      <c r="E4" s="13">
        <v>0</v>
      </c>
      <c r="F4" s="13">
        <v>0</v>
      </c>
      <c r="G4" s="13">
        <v>0</v>
      </c>
      <c r="K4" s="2">
        <v>1</v>
      </c>
      <c r="L4" s="6" t="s">
        <v>0</v>
      </c>
      <c r="M4" s="12">
        <f>+C4</f>
        <v>43010.71</v>
      </c>
      <c r="N4" s="13">
        <f t="shared" ref="N4:N7" si="0">+M4</f>
        <v>43010.71</v>
      </c>
      <c r="O4" s="12"/>
      <c r="P4" s="12"/>
      <c r="Q4" s="12"/>
      <c r="R4" s="12">
        <f t="shared" ref="R4" si="1">+O4+P4+Q4</f>
        <v>0</v>
      </c>
      <c r="S4" s="12">
        <f t="shared" ref="S4" si="2">+N4-R4</f>
        <v>43010.71</v>
      </c>
    </row>
    <row r="5" spans="1:19" customFormat="1" x14ac:dyDescent="0.3">
      <c r="A5" s="2">
        <v>2</v>
      </c>
      <c r="B5" s="6" t="s">
        <v>1</v>
      </c>
      <c r="C5" s="12">
        <f>15080.48+14137.95+0.01</f>
        <v>29218.44</v>
      </c>
      <c r="D5" s="13">
        <v>0</v>
      </c>
      <c r="E5" s="13">
        <v>0</v>
      </c>
      <c r="F5" s="13">
        <v>0</v>
      </c>
      <c r="G5" s="13">
        <v>0</v>
      </c>
      <c r="K5" s="2">
        <v>2</v>
      </c>
      <c r="L5" s="6" t="s">
        <v>1</v>
      </c>
      <c r="M5" s="12">
        <f t="shared" ref="M5:M7" si="3">+C5</f>
        <v>29218.44</v>
      </c>
      <c r="N5" s="13">
        <f>+M5</f>
        <v>29218.44</v>
      </c>
      <c r="O5" s="12"/>
      <c r="P5" s="12"/>
      <c r="Q5" s="12"/>
      <c r="R5" s="12">
        <f>+O5+P5+Q5</f>
        <v>0</v>
      </c>
      <c r="S5" s="12">
        <f>+N5-R5</f>
        <v>29218.44</v>
      </c>
    </row>
    <row r="6" spans="1:19" customFormat="1" x14ac:dyDescent="0.3">
      <c r="A6" s="2">
        <v>3</v>
      </c>
      <c r="B6" s="6" t="s">
        <v>2</v>
      </c>
      <c r="C6" s="12">
        <f>14137.95+15080.48+0.01+0.01</f>
        <v>29218.449999999997</v>
      </c>
      <c r="D6" s="13">
        <v>0</v>
      </c>
      <c r="E6" s="13">
        <v>0</v>
      </c>
      <c r="F6" s="13">
        <v>0</v>
      </c>
      <c r="G6" s="13">
        <v>0</v>
      </c>
      <c r="K6" s="2">
        <v>3</v>
      </c>
      <c r="L6" s="6" t="s">
        <v>2</v>
      </c>
      <c r="M6" s="12">
        <f t="shared" si="3"/>
        <v>29218.449999999997</v>
      </c>
      <c r="N6" s="13">
        <f t="shared" si="0"/>
        <v>29218.449999999997</v>
      </c>
      <c r="O6" s="12"/>
      <c r="P6" s="12"/>
      <c r="Q6" s="12"/>
      <c r="R6" s="12">
        <f t="shared" ref="R6:R7" si="4">+O6+P6+Q6</f>
        <v>0</v>
      </c>
      <c r="S6" s="12">
        <f t="shared" ref="S6:S7" si="5">+N6-R6</f>
        <v>29218.449999999997</v>
      </c>
    </row>
    <row r="7" spans="1:19" customFormat="1" x14ac:dyDescent="0.3">
      <c r="A7" s="2">
        <v>4</v>
      </c>
      <c r="B7" s="6" t="s">
        <v>3</v>
      </c>
      <c r="C7" s="12">
        <f>10147.8+10824.32+0.17</f>
        <v>20972.289999999997</v>
      </c>
      <c r="D7" s="13">
        <v>0</v>
      </c>
      <c r="E7" s="13">
        <v>0</v>
      </c>
      <c r="F7" s="13">
        <v>0</v>
      </c>
      <c r="G7" s="13">
        <v>0</v>
      </c>
      <c r="K7" s="2">
        <v>4</v>
      </c>
      <c r="L7" s="6" t="s">
        <v>3</v>
      </c>
      <c r="M7" s="12">
        <f t="shared" si="3"/>
        <v>20972.289999999997</v>
      </c>
      <c r="N7" s="13">
        <f t="shared" si="0"/>
        <v>20972.289999999997</v>
      </c>
      <c r="O7" s="12">
        <f>1777.25+1620.31</f>
        <v>3397.56</v>
      </c>
      <c r="P7" s="12">
        <f>293.46+313.04</f>
        <v>606.5</v>
      </c>
      <c r="Q7" s="12">
        <v>0.03</v>
      </c>
      <c r="R7" s="12">
        <f t="shared" si="4"/>
        <v>4004.09</v>
      </c>
      <c r="S7" s="12">
        <f t="shared" si="5"/>
        <v>16968.199999999997</v>
      </c>
    </row>
    <row r="8" spans="1:19" customFormat="1" ht="18" x14ac:dyDescent="0.35">
      <c r="A8" s="1"/>
      <c r="B8" s="7" t="s">
        <v>10</v>
      </c>
      <c r="C8" s="15">
        <f>SUM(C4:C7)</f>
        <v>122419.88999999998</v>
      </c>
      <c r="D8" s="15">
        <f t="shared" ref="D8:G8" si="6">SUM(D4:D7)</f>
        <v>0</v>
      </c>
      <c r="E8" s="15">
        <f t="shared" si="6"/>
        <v>0</v>
      </c>
      <c r="F8" s="15">
        <f t="shared" si="6"/>
        <v>0</v>
      </c>
      <c r="G8" s="15">
        <f t="shared" si="6"/>
        <v>0</v>
      </c>
      <c r="K8" s="1"/>
      <c r="L8" s="7" t="s">
        <v>10</v>
      </c>
      <c r="M8" s="8">
        <f>SUM(M4:M7)</f>
        <v>122419.88999999998</v>
      </c>
      <c r="N8" s="8">
        <f t="shared" ref="N8:S8" si="7">SUM(N4:N7)</f>
        <v>122419.88999999998</v>
      </c>
      <c r="O8" s="8">
        <f t="shared" si="7"/>
        <v>3397.56</v>
      </c>
      <c r="P8" s="8">
        <f t="shared" si="7"/>
        <v>606.5</v>
      </c>
      <c r="Q8" s="8">
        <f t="shared" si="7"/>
        <v>0.03</v>
      </c>
      <c r="R8" s="8">
        <f t="shared" si="7"/>
        <v>4004.09</v>
      </c>
      <c r="S8" s="8">
        <f t="shared" si="7"/>
        <v>118415.79999999999</v>
      </c>
    </row>
    <row r="9" spans="1:19" customFormat="1" ht="21" x14ac:dyDescent="0.3">
      <c r="A9" s="17"/>
      <c r="B9" s="18"/>
      <c r="C9" s="18"/>
      <c r="D9" s="19"/>
    </row>
    <row r="10" spans="1:19" x14ac:dyDescent="0.3">
      <c r="I10"/>
    </row>
    <row r="11" spans="1:19" customFormat="1" ht="18" x14ac:dyDescent="0.35">
      <c r="A11" s="3"/>
      <c r="B11" s="30" t="s">
        <v>38</v>
      </c>
      <c r="C11" s="30"/>
      <c r="D11" s="30"/>
      <c r="E11" s="30"/>
      <c r="F11" s="30"/>
      <c r="G11" s="30"/>
      <c r="K11" s="3"/>
      <c r="L11" s="30" t="s">
        <v>82</v>
      </c>
      <c r="M11" s="30"/>
      <c r="N11" s="30"/>
      <c r="O11" s="30"/>
      <c r="P11" s="30"/>
      <c r="Q11" s="30"/>
    </row>
    <row r="12" spans="1:19" customFormat="1" ht="28.8" x14ac:dyDescent="0.3">
      <c r="A12" s="10" t="s">
        <v>11</v>
      </c>
      <c r="B12" s="9" t="s">
        <v>4</v>
      </c>
      <c r="C12" s="14" t="s">
        <v>5</v>
      </c>
      <c r="D12" s="9" t="s">
        <v>6</v>
      </c>
      <c r="E12" s="9" t="s">
        <v>7</v>
      </c>
      <c r="F12" s="9" t="s">
        <v>8</v>
      </c>
      <c r="G12" s="9" t="s">
        <v>9</v>
      </c>
      <c r="K12" s="10" t="s">
        <v>11</v>
      </c>
      <c r="L12" s="9" t="s">
        <v>4</v>
      </c>
      <c r="M12" s="23" t="s">
        <v>5</v>
      </c>
      <c r="N12" s="23" t="s">
        <v>54</v>
      </c>
      <c r="O12" s="23" t="s">
        <v>55</v>
      </c>
      <c r="P12" s="23" t="s">
        <v>57</v>
      </c>
      <c r="Q12" s="23" t="s">
        <v>56</v>
      </c>
      <c r="R12" s="23" t="s">
        <v>58</v>
      </c>
      <c r="S12" s="23" t="s">
        <v>59</v>
      </c>
    </row>
    <row r="13" spans="1:19" customFormat="1" x14ac:dyDescent="0.3">
      <c r="A13" s="2">
        <v>1</v>
      </c>
      <c r="B13" s="6" t="s">
        <v>0</v>
      </c>
      <c r="C13" s="12">
        <f>19424.16+20811.6+0.13</f>
        <v>40235.889999999992</v>
      </c>
      <c r="D13" s="13">
        <v>0</v>
      </c>
      <c r="E13" s="13">
        <v>0</v>
      </c>
      <c r="F13" s="13">
        <v>0</v>
      </c>
      <c r="G13" s="13">
        <v>0</v>
      </c>
      <c r="K13" s="2">
        <v>1</v>
      </c>
      <c r="L13" s="6" t="s">
        <v>0</v>
      </c>
      <c r="M13" s="12">
        <f>+C13</f>
        <v>40235.889999999992</v>
      </c>
      <c r="N13" s="13">
        <f t="shared" ref="N13:N16" si="8">+M13</f>
        <v>40235.889999999992</v>
      </c>
      <c r="O13" s="12"/>
      <c r="P13" s="12"/>
      <c r="Q13" s="12"/>
      <c r="R13" s="12">
        <f>+O13+P13+Q13</f>
        <v>0</v>
      </c>
      <c r="S13" s="12">
        <f>+N13-R13</f>
        <v>40235.889999999992</v>
      </c>
    </row>
    <row r="14" spans="1:19" customFormat="1" x14ac:dyDescent="0.3">
      <c r="A14" s="2">
        <v>2</v>
      </c>
      <c r="B14" s="6" t="s">
        <v>1</v>
      </c>
      <c r="C14" s="12">
        <f>13195.42+14137.95+0.01+0.15</f>
        <v>27333.530000000002</v>
      </c>
      <c r="D14" s="13">
        <v>0</v>
      </c>
      <c r="E14" s="13">
        <v>0</v>
      </c>
      <c r="F14" s="13">
        <v>0</v>
      </c>
      <c r="G14" s="13">
        <v>0</v>
      </c>
      <c r="K14" s="2">
        <v>2</v>
      </c>
      <c r="L14" s="6" t="s">
        <v>1</v>
      </c>
      <c r="M14" s="12">
        <f t="shared" ref="M14:M16" si="9">+C14</f>
        <v>27333.530000000002</v>
      </c>
      <c r="N14" s="13">
        <f>+M14</f>
        <v>27333.530000000002</v>
      </c>
      <c r="O14" s="12"/>
      <c r="P14" s="12"/>
      <c r="Q14" s="12"/>
      <c r="R14" s="12">
        <f>+O14+P14+Q14</f>
        <v>0</v>
      </c>
      <c r="S14" s="12">
        <f>+N14-R14</f>
        <v>27333.530000000002</v>
      </c>
    </row>
    <row r="15" spans="1:19" customFormat="1" x14ac:dyDescent="0.3">
      <c r="A15" s="2">
        <v>3</v>
      </c>
      <c r="B15" s="6" t="s">
        <v>2</v>
      </c>
      <c r="C15" s="12">
        <f>14137.95+13195.42+0.01</f>
        <v>27333.38</v>
      </c>
      <c r="D15" s="13">
        <v>0</v>
      </c>
      <c r="E15" s="13">
        <v>0</v>
      </c>
      <c r="F15" s="13">
        <v>0</v>
      </c>
      <c r="G15" s="13">
        <v>0</v>
      </c>
      <c r="K15" s="2">
        <v>3</v>
      </c>
      <c r="L15" s="6" t="s">
        <v>2</v>
      </c>
      <c r="M15" s="12">
        <f t="shared" si="9"/>
        <v>27333.38</v>
      </c>
      <c r="N15" s="13">
        <f t="shared" si="8"/>
        <v>27333.38</v>
      </c>
      <c r="O15" s="12"/>
      <c r="P15" s="12"/>
      <c r="Q15" s="12"/>
      <c r="R15" s="12">
        <f>+O15+P15+Q15</f>
        <v>0</v>
      </c>
      <c r="S15" s="12">
        <f>+N15-R15</f>
        <v>27333.38</v>
      </c>
    </row>
    <row r="16" spans="1:19" customFormat="1" x14ac:dyDescent="0.3">
      <c r="A16" s="2">
        <v>4</v>
      </c>
      <c r="B16" s="6" t="s">
        <v>3</v>
      </c>
      <c r="C16" s="12">
        <f>10147.8+9471.28</f>
        <v>19619.080000000002</v>
      </c>
      <c r="D16" s="13">
        <v>0</v>
      </c>
      <c r="E16" s="13">
        <v>0</v>
      </c>
      <c r="F16" s="13">
        <v>0</v>
      </c>
      <c r="G16" s="13">
        <v>0</v>
      </c>
      <c r="K16" s="2">
        <v>4</v>
      </c>
      <c r="L16" s="6" t="s">
        <v>3</v>
      </c>
      <c r="M16" s="12">
        <f t="shared" si="9"/>
        <v>19619.080000000002</v>
      </c>
      <c r="N16" s="13">
        <f t="shared" si="8"/>
        <v>19619.080000000002</v>
      </c>
      <c r="O16" s="12">
        <f>1384.85+1620.31</f>
        <v>3005.16</v>
      </c>
      <c r="P16" s="12">
        <f>293.46+272.41</f>
        <v>565.87</v>
      </c>
      <c r="Q16" s="12">
        <f>0.02+0.03</f>
        <v>0.05</v>
      </c>
      <c r="R16" s="12">
        <f>+O16+P16+Q16</f>
        <v>3571.08</v>
      </c>
      <c r="S16" s="12">
        <f>+N16-R16</f>
        <v>16048.000000000002</v>
      </c>
    </row>
    <row r="17" spans="1:19" customFormat="1" ht="18" x14ac:dyDescent="0.35">
      <c r="A17" s="1"/>
      <c r="B17" s="7" t="s">
        <v>10</v>
      </c>
      <c r="C17" s="15">
        <f>SUM(C13:C16)</f>
        <v>114521.88</v>
      </c>
      <c r="D17" s="15">
        <f t="shared" ref="D17" si="10">SUM(D13:D16)</f>
        <v>0</v>
      </c>
      <c r="E17" s="15">
        <f t="shared" ref="E17" si="11">SUM(E13:E16)</f>
        <v>0</v>
      </c>
      <c r="F17" s="15">
        <f t="shared" ref="F17" si="12">SUM(F13:F16)</f>
        <v>0</v>
      </c>
      <c r="G17" s="15">
        <f t="shared" ref="G17" si="13">SUM(G13:G16)</f>
        <v>0</v>
      </c>
      <c r="K17" s="1"/>
      <c r="L17" s="7" t="s">
        <v>10</v>
      </c>
      <c r="M17" s="8">
        <f>SUM(M13:M16)</f>
        <v>114521.88</v>
      </c>
      <c r="N17" s="8">
        <f t="shared" ref="N17:Q17" si="14">SUM(N13:N16)</f>
        <v>114521.88</v>
      </c>
      <c r="O17" s="8">
        <f t="shared" si="14"/>
        <v>3005.16</v>
      </c>
      <c r="P17" s="8">
        <f t="shared" si="14"/>
        <v>565.87</v>
      </c>
      <c r="Q17" s="8">
        <f t="shared" si="14"/>
        <v>0.05</v>
      </c>
      <c r="R17" s="8">
        <f>SUM(R13:R16)</f>
        <v>3571.08</v>
      </c>
      <c r="S17" s="8">
        <f>SUM(S13:S16)</f>
        <v>110950.8</v>
      </c>
    </row>
    <row r="18" spans="1:19" x14ac:dyDescent="0.3">
      <c r="I18"/>
    </row>
    <row r="19" spans="1:19" customFormat="1" ht="18" x14ac:dyDescent="0.35">
      <c r="A19" s="3"/>
      <c r="B19" s="30" t="s">
        <v>39</v>
      </c>
      <c r="C19" s="30"/>
      <c r="D19" s="30"/>
      <c r="E19" s="30"/>
      <c r="F19" s="30"/>
      <c r="G19" s="30"/>
      <c r="K19" s="3"/>
      <c r="L19" s="30" t="s">
        <v>83</v>
      </c>
      <c r="M19" s="30"/>
      <c r="N19" s="30"/>
      <c r="O19" s="30"/>
      <c r="P19" s="30"/>
      <c r="Q19" s="31"/>
    </row>
    <row r="20" spans="1:19" customFormat="1" ht="28.8" x14ac:dyDescent="0.3">
      <c r="A20" s="10" t="s">
        <v>11</v>
      </c>
      <c r="B20" s="9" t="s">
        <v>4</v>
      </c>
      <c r="C20" s="14" t="s">
        <v>5</v>
      </c>
      <c r="D20" s="9" t="s">
        <v>6</v>
      </c>
      <c r="E20" s="9" t="s">
        <v>7</v>
      </c>
      <c r="F20" s="9" t="s">
        <v>8</v>
      </c>
      <c r="G20" s="9" t="s">
        <v>9</v>
      </c>
      <c r="K20" s="10" t="s">
        <v>11</v>
      </c>
      <c r="L20" s="9" t="s">
        <v>4</v>
      </c>
      <c r="M20" s="23" t="s">
        <v>5</v>
      </c>
      <c r="N20" s="23" t="s">
        <v>54</v>
      </c>
      <c r="O20" s="23" t="s">
        <v>55</v>
      </c>
      <c r="P20" s="23" t="s">
        <v>57</v>
      </c>
      <c r="Q20" s="23" t="s">
        <v>56</v>
      </c>
      <c r="R20" s="23" t="s">
        <v>58</v>
      </c>
      <c r="S20" s="23" t="s">
        <v>59</v>
      </c>
    </row>
    <row r="21" spans="1:19" customFormat="1" x14ac:dyDescent="0.3">
      <c r="A21" s="2">
        <v>1</v>
      </c>
      <c r="B21" s="6" t="s">
        <v>0</v>
      </c>
      <c r="C21" s="12">
        <f>22199.04+20811.6</f>
        <v>43010.64</v>
      </c>
      <c r="D21" s="13">
        <v>0</v>
      </c>
      <c r="E21" s="13">
        <v>0</v>
      </c>
      <c r="F21" s="13">
        <v>0</v>
      </c>
      <c r="G21" s="13">
        <v>0</v>
      </c>
      <c r="K21" s="2">
        <v>1</v>
      </c>
      <c r="L21" s="6" t="s">
        <v>0</v>
      </c>
      <c r="M21" s="12">
        <f>+C21</f>
        <v>43010.64</v>
      </c>
      <c r="N21" s="13">
        <f t="shared" ref="N21:N24" si="15">+M21</f>
        <v>43010.64</v>
      </c>
      <c r="O21" s="12"/>
      <c r="P21" s="12"/>
      <c r="Q21" s="12"/>
      <c r="R21" s="12">
        <f>+O21+P21+Q21</f>
        <v>0</v>
      </c>
      <c r="S21" s="12">
        <f>+N21-R21</f>
        <v>43010.64</v>
      </c>
    </row>
    <row r="22" spans="1:19" customFormat="1" x14ac:dyDescent="0.3">
      <c r="A22" s="2">
        <v>2</v>
      </c>
      <c r="B22" s="6" t="s">
        <v>1</v>
      </c>
      <c r="C22" s="12">
        <f>15080.48+14137.95+0.15</f>
        <v>29218.58</v>
      </c>
      <c r="D22" s="13">
        <v>0</v>
      </c>
      <c r="E22" s="13">
        <v>0</v>
      </c>
      <c r="F22" s="13">
        <v>0</v>
      </c>
      <c r="G22" s="13">
        <v>0</v>
      </c>
      <c r="K22" s="2">
        <v>2</v>
      </c>
      <c r="L22" s="6" t="s">
        <v>1</v>
      </c>
      <c r="M22" s="12">
        <f t="shared" ref="M22:M24" si="16">+C22</f>
        <v>29218.58</v>
      </c>
      <c r="N22" s="13">
        <f>+M22</f>
        <v>29218.58</v>
      </c>
      <c r="O22" s="12"/>
      <c r="P22" s="12"/>
      <c r="Q22" s="12"/>
      <c r="R22" s="12">
        <f>+O22+P22+Q22</f>
        <v>0</v>
      </c>
      <c r="S22" s="12">
        <f>+N22-R22</f>
        <v>29218.58</v>
      </c>
    </row>
    <row r="23" spans="1:19" customFormat="1" x14ac:dyDescent="0.3">
      <c r="A23" s="2">
        <v>3</v>
      </c>
      <c r="B23" s="6" t="s">
        <v>2</v>
      </c>
      <c r="C23" s="12">
        <f>15080.48+14137.95+0.04</f>
        <v>29218.47</v>
      </c>
      <c r="D23" s="13">
        <v>0</v>
      </c>
      <c r="E23" s="13">
        <v>0</v>
      </c>
      <c r="F23" s="13">
        <v>0</v>
      </c>
      <c r="G23" s="13">
        <v>0</v>
      </c>
      <c r="K23" s="2">
        <v>3</v>
      </c>
      <c r="L23" s="6" t="s">
        <v>2</v>
      </c>
      <c r="M23" s="12">
        <f t="shared" si="16"/>
        <v>29218.47</v>
      </c>
      <c r="N23" s="13">
        <f t="shared" si="15"/>
        <v>29218.47</v>
      </c>
      <c r="O23" s="12"/>
      <c r="P23" s="12"/>
      <c r="Q23" s="12"/>
      <c r="R23" s="12">
        <f>+O23+P23+Q23</f>
        <v>0</v>
      </c>
      <c r="S23" s="12">
        <f>+N23-R23</f>
        <v>29218.47</v>
      </c>
    </row>
    <row r="24" spans="1:19" customFormat="1" x14ac:dyDescent="0.3">
      <c r="A24" s="2">
        <v>4</v>
      </c>
      <c r="B24" s="6" t="s">
        <v>3</v>
      </c>
      <c r="C24" s="12">
        <f>10147.8+10824.32+0.05</f>
        <v>20972.17</v>
      </c>
      <c r="D24" s="13">
        <v>0</v>
      </c>
      <c r="E24" s="13">
        <v>0</v>
      </c>
      <c r="F24" s="13">
        <v>0</v>
      </c>
      <c r="G24" s="13">
        <v>0</v>
      </c>
      <c r="K24" s="2">
        <v>4</v>
      </c>
      <c r="L24" s="6" t="s">
        <v>3</v>
      </c>
      <c r="M24" s="12">
        <f t="shared" si="16"/>
        <v>20972.17</v>
      </c>
      <c r="N24" s="13">
        <f t="shared" si="15"/>
        <v>20972.17</v>
      </c>
      <c r="O24" s="12">
        <f>1673.86+1529.35</f>
        <v>3203.21</v>
      </c>
      <c r="P24" s="12">
        <f>291.84+311.31</f>
        <v>603.15</v>
      </c>
      <c r="Q24" s="12">
        <v>0.01</v>
      </c>
      <c r="R24" s="12">
        <f>+O24+P24+Q24</f>
        <v>3806.3700000000003</v>
      </c>
      <c r="S24" s="12">
        <f>+N24-R24</f>
        <v>17165.8</v>
      </c>
    </row>
    <row r="25" spans="1:19" customFormat="1" ht="18" x14ac:dyDescent="0.35">
      <c r="A25" s="1"/>
      <c r="B25" s="7" t="s">
        <v>10</v>
      </c>
      <c r="C25" s="15">
        <f>SUM(C21:C24)</f>
        <v>122419.86</v>
      </c>
      <c r="D25" s="15">
        <f t="shared" ref="D25" si="17">SUM(D21:D24)</f>
        <v>0</v>
      </c>
      <c r="E25" s="15">
        <f t="shared" ref="E25" si="18">SUM(E21:E24)</f>
        <v>0</v>
      </c>
      <c r="F25" s="15">
        <f t="shared" ref="F25" si="19">SUM(F21:F24)</f>
        <v>0</v>
      </c>
      <c r="G25" s="15">
        <f t="shared" ref="G25" si="20">SUM(G21:G24)</f>
        <v>0</v>
      </c>
      <c r="K25" s="1"/>
      <c r="L25" s="7" t="s">
        <v>10</v>
      </c>
      <c r="M25" s="8">
        <f>SUM(M21:M24)</f>
        <v>122419.86</v>
      </c>
      <c r="N25" s="8">
        <f t="shared" ref="N25:S25" si="21">SUM(N21:N24)</f>
        <v>122419.86</v>
      </c>
      <c r="O25" s="8">
        <f t="shared" si="21"/>
        <v>3203.21</v>
      </c>
      <c r="P25" s="8">
        <f t="shared" si="21"/>
        <v>603.15</v>
      </c>
      <c r="Q25" s="8">
        <f t="shared" si="21"/>
        <v>0.01</v>
      </c>
      <c r="R25" s="8">
        <f t="shared" si="21"/>
        <v>3806.3700000000003</v>
      </c>
      <c r="S25" s="8">
        <f t="shared" si="21"/>
        <v>118613.49</v>
      </c>
    </row>
    <row r="26" spans="1:19" x14ac:dyDescent="0.3">
      <c r="I26"/>
    </row>
    <row r="27" spans="1:19" customFormat="1" ht="18" x14ac:dyDescent="0.35">
      <c r="A27" s="3"/>
      <c r="B27" s="30" t="s">
        <v>40</v>
      </c>
      <c r="C27" s="30"/>
      <c r="D27" s="30"/>
      <c r="E27" s="30"/>
      <c r="F27" s="30"/>
      <c r="G27" s="30"/>
    </row>
    <row r="28" spans="1:19" customFormat="1" ht="29.4" x14ac:dyDescent="0.35">
      <c r="A28" s="10" t="s">
        <v>11</v>
      </c>
      <c r="B28" s="9" t="s">
        <v>4</v>
      </c>
      <c r="C28" s="14" t="s">
        <v>5</v>
      </c>
      <c r="D28" s="9" t="s">
        <v>6</v>
      </c>
      <c r="E28" s="9" t="s">
        <v>7</v>
      </c>
      <c r="F28" s="9" t="s">
        <v>8</v>
      </c>
      <c r="G28" s="9" t="s">
        <v>9</v>
      </c>
      <c r="K28" s="3"/>
      <c r="L28" s="30" t="s">
        <v>84</v>
      </c>
      <c r="M28" s="30"/>
      <c r="N28" s="30"/>
      <c r="O28" s="30"/>
      <c r="P28" s="30"/>
      <c r="Q28" s="30"/>
    </row>
    <row r="29" spans="1:19" customFormat="1" ht="28.8" x14ac:dyDescent="0.3">
      <c r="A29" s="2">
        <v>1</v>
      </c>
      <c r="B29" s="6" t="s">
        <v>0</v>
      </c>
      <c r="C29" s="12">
        <f>20811.6+20811.6+0.14</f>
        <v>41623.339999999997</v>
      </c>
      <c r="D29" s="13">
        <v>0</v>
      </c>
      <c r="E29" s="13">
        <v>0</v>
      </c>
      <c r="F29" s="13">
        <v>0</v>
      </c>
      <c r="G29" s="13">
        <v>0</v>
      </c>
      <c r="K29" s="10" t="s">
        <v>11</v>
      </c>
      <c r="L29" s="9" t="s">
        <v>4</v>
      </c>
      <c r="M29" s="23" t="s">
        <v>5</v>
      </c>
      <c r="N29" s="23" t="s">
        <v>54</v>
      </c>
      <c r="O29" s="23" t="s">
        <v>55</v>
      </c>
      <c r="P29" s="23" t="s">
        <v>57</v>
      </c>
      <c r="Q29" s="23" t="s">
        <v>56</v>
      </c>
      <c r="R29" s="23" t="s">
        <v>58</v>
      </c>
      <c r="S29" s="23" t="s">
        <v>59</v>
      </c>
    </row>
    <row r="30" spans="1:19" customFormat="1" x14ac:dyDescent="0.3">
      <c r="A30" s="2">
        <v>2</v>
      </c>
      <c r="B30" s="6" t="s">
        <v>1</v>
      </c>
      <c r="C30" s="12">
        <f>14137.95*2+0.04</f>
        <v>28275.940000000002</v>
      </c>
      <c r="D30" s="13">
        <v>0</v>
      </c>
      <c r="E30" s="13">
        <v>0</v>
      </c>
      <c r="F30" s="13">
        <v>0</v>
      </c>
      <c r="G30" s="13">
        <v>0</v>
      </c>
      <c r="K30" s="2">
        <v>1</v>
      </c>
      <c r="L30" s="6" t="s">
        <v>0</v>
      </c>
      <c r="M30" s="12">
        <f>+C29</f>
        <v>41623.339999999997</v>
      </c>
      <c r="N30" s="13">
        <f t="shared" ref="N30:N33" si="22">+M30</f>
        <v>41623.339999999997</v>
      </c>
      <c r="O30" s="12"/>
      <c r="P30" s="12"/>
      <c r="Q30" s="12"/>
      <c r="R30" s="12">
        <f>+O30+P30+Q30</f>
        <v>0</v>
      </c>
      <c r="S30" s="12">
        <f>+N30-R30</f>
        <v>41623.339999999997</v>
      </c>
    </row>
    <row r="31" spans="1:19" customFormat="1" x14ac:dyDescent="0.3">
      <c r="A31" s="2">
        <v>3</v>
      </c>
      <c r="B31" s="6" t="s">
        <v>2</v>
      </c>
      <c r="C31" s="12">
        <f>14137.95*2+0.04+0.04</f>
        <v>28275.980000000003</v>
      </c>
      <c r="D31" s="13">
        <v>0</v>
      </c>
      <c r="E31" s="13">
        <v>0</v>
      </c>
      <c r="F31" s="13">
        <v>0</v>
      </c>
      <c r="G31" s="13">
        <v>0</v>
      </c>
      <c r="K31" s="2">
        <v>2</v>
      </c>
      <c r="L31" s="6" t="s">
        <v>1</v>
      </c>
      <c r="M31" s="12">
        <f t="shared" ref="M31:M33" si="23">+C30</f>
        <v>28275.940000000002</v>
      </c>
      <c r="N31" s="13">
        <f>+M31</f>
        <v>28275.940000000002</v>
      </c>
      <c r="O31" s="12"/>
      <c r="P31" s="12"/>
      <c r="Q31" s="12"/>
      <c r="R31" s="12">
        <f>+O31+P31+Q31</f>
        <v>0</v>
      </c>
      <c r="S31" s="12">
        <f>+N31-R31</f>
        <v>28275.940000000002</v>
      </c>
    </row>
    <row r="32" spans="1:19" customFormat="1" x14ac:dyDescent="0.3">
      <c r="A32" s="2">
        <v>4</v>
      </c>
      <c r="B32" s="6" t="s">
        <v>3</v>
      </c>
      <c r="C32" s="12">
        <f>10147.8+10147.8</f>
        <v>20295.599999999999</v>
      </c>
      <c r="D32" s="13">
        <v>0</v>
      </c>
      <c r="E32" s="13">
        <v>0</v>
      </c>
      <c r="F32" s="13">
        <v>0</v>
      </c>
      <c r="G32" s="13">
        <v>0</v>
      </c>
      <c r="K32" s="2">
        <v>3</v>
      </c>
      <c r="L32" s="6" t="s">
        <v>2</v>
      </c>
      <c r="M32" s="12">
        <f t="shared" si="23"/>
        <v>28275.980000000003</v>
      </c>
      <c r="N32" s="13">
        <f t="shared" si="22"/>
        <v>28275.980000000003</v>
      </c>
      <c r="O32" s="12"/>
      <c r="P32" s="12"/>
      <c r="Q32" s="12"/>
      <c r="R32" s="12">
        <f>+O32+P32+Q32</f>
        <v>0</v>
      </c>
      <c r="S32" s="12">
        <f>+N32-R32</f>
        <v>28275.980000000003</v>
      </c>
    </row>
    <row r="33" spans="1:19" customFormat="1" ht="18" x14ac:dyDescent="0.35">
      <c r="A33" s="1"/>
      <c r="B33" s="7" t="s">
        <v>10</v>
      </c>
      <c r="C33" s="15">
        <f>SUM(C29:C32)</f>
        <v>118470.86000000002</v>
      </c>
      <c r="D33" s="15">
        <f t="shared" ref="D33" si="24">SUM(D29:D32)</f>
        <v>0</v>
      </c>
      <c r="E33" s="15">
        <f t="shared" ref="E33" si="25">SUM(E29:E32)</f>
        <v>0</v>
      </c>
      <c r="F33" s="15">
        <f t="shared" ref="F33" si="26">SUM(F29:F32)</f>
        <v>0</v>
      </c>
      <c r="G33" s="15">
        <f t="shared" ref="G33" si="27">SUM(G29:G32)</f>
        <v>0</v>
      </c>
      <c r="K33" s="2">
        <v>4</v>
      </c>
      <c r="L33" s="6" t="s">
        <v>3</v>
      </c>
      <c r="M33" s="12">
        <f t="shared" si="23"/>
        <v>20295.599999999999</v>
      </c>
      <c r="N33" s="13">
        <f t="shared" si="22"/>
        <v>20295.599999999999</v>
      </c>
      <c r="O33" s="12">
        <f>1529.35+1529.35</f>
        <v>3058.7</v>
      </c>
      <c r="P33" s="12">
        <f>291.84+291.84</f>
        <v>583.67999999999995</v>
      </c>
      <c r="Q33" s="12">
        <f>0.01+0.01</f>
        <v>0.02</v>
      </c>
      <c r="R33" s="12">
        <f>+O33+P33+Q33</f>
        <v>3642.3999999999996</v>
      </c>
      <c r="S33" s="12">
        <f>+N33-R33</f>
        <v>16653.199999999997</v>
      </c>
    </row>
    <row r="34" spans="1:19" ht="18" x14ac:dyDescent="0.35">
      <c r="I34"/>
      <c r="K34" s="1"/>
      <c r="L34" s="7" t="s">
        <v>10</v>
      </c>
      <c r="M34" s="8">
        <f>SUM(M30:M33)</f>
        <v>118470.86000000002</v>
      </c>
      <c r="N34" s="8">
        <f t="shared" ref="N34:Q34" si="28">SUM(N30:N33)</f>
        <v>118470.86000000002</v>
      </c>
      <c r="O34" s="8">
        <f t="shared" si="28"/>
        <v>3058.7</v>
      </c>
      <c r="P34" s="8">
        <f t="shared" si="28"/>
        <v>583.67999999999995</v>
      </c>
      <c r="Q34" s="8">
        <f t="shared" si="28"/>
        <v>0.02</v>
      </c>
      <c r="R34" s="8">
        <f>SUM(R30:R33)</f>
        <v>3642.3999999999996</v>
      </c>
      <c r="S34" s="8">
        <f>SUM(S30:S33)</f>
        <v>114828.46</v>
      </c>
    </row>
    <row r="35" spans="1:19" customFormat="1" ht="18" x14ac:dyDescent="0.35">
      <c r="A35" s="3"/>
      <c r="B35" s="30" t="s">
        <v>41</v>
      </c>
      <c r="C35" s="30"/>
      <c r="D35" s="30"/>
      <c r="E35" s="30"/>
      <c r="F35" s="30"/>
      <c r="G35" s="30"/>
    </row>
    <row r="36" spans="1:19" customFormat="1" ht="28.8" x14ac:dyDescent="0.3">
      <c r="A36" s="10" t="s">
        <v>11</v>
      </c>
      <c r="B36" s="9" t="s">
        <v>4</v>
      </c>
      <c r="C36" s="14" t="s">
        <v>5</v>
      </c>
      <c r="D36" s="9" t="s">
        <v>6</v>
      </c>
      <c r="E36" s="9" t="s">
        <v>7</v>
      </c>
      <c r="F36" s="9" t="s">
        <v>8</v>
      </c>
      <c r="G36" s="9" t="s">
        <v>9</v>
      </c>
    </row>
    <row r="37" spans="1:19" customFormat="1" ht="18" x14ac:dyDescent="0.35">
      <c r="A37" s="2">
        <v>1</v>
      </c>
      <c r="B37" s="6" t="s">
        <v>0</v>
      </c>
      <c r="C37" s="12">
        <f>22199.04+20811.6</f>
        <v>43010.64</v>
      </c>
      <c r="D37" s="13">
        <v>0</v>
      </c>
      <c r="E37" s="13">
        <v>0</v>
      </c>
      <c r="F37" s="13">
        <v>0</v>
      </c>
      <c r="G37" s="13">
        <v>0</v>
      </c>
      <c r="K37" s="3"/>
      <c r="L37" s="30" t="s">
        <v>85</v>
      </c>
      <c r="M37" s="30"/>
      <c r="N37" s="30"/>
      <c r="O37" s="30"/>
      <c r="P37" s="30"/>
      <c r="Q37" s="30"/>
    </row>
    <row r="38" spans="1:19" customFormat="1" ht="28.8" x14ac:dyDescent="0.3">
      <c r="A38" s="2">
        <v>2</v>
      </c>
      <c r="B38" s="6" t="s">
        <v>1</v>
      </c>
      <c r="C38" s="12">
        <f>14137.95+15080.48+0.04</f>
        <v>29218.47</v>
      </c>
      <c r="D38" s="13">
        <v>0</v>
      </c>
      <c r="E38" s="13">
        <v>0</v>
      </c>
      <c r="F38" s="13">
        <v>0</v>
      </c>
      <c r="G38" s="13">
        <v>0</v>
      </c>
      <c r="K38" s="10" t="s">
        <v>11</v>
      </c>
      <c r="L38" s="9" t="s">
        <v>4</v>
      </c>
      <c r="M38" s="23" t="s">
        <v>5</v>
      </c>
      <c r="N38" s="23" t="s">
        <v>54</v>
      </c>
      <c r="O38" s="23" t="s">
        <v>55</v>
      </c>
      <c r="P38" s="23" t="s">
        <v>57</v>
      </c>
      <c r="Q38" s="23" t="s">
        <v>56</v>
      </c>
      <c r="R38" s="23" t="s">
        <v>58</v>
      </c>
      <c r="S38" s="23" t="s">
        <v>59</v>
      </c>
    </row>
    <row r="39" spans="1:19" customFormat="1" x14ac:dyDescent="0.3">
      <c r="A39" s="2">
        <v>3</v>
      </c>
      <c r="B39" s="6" t="s">
        <v>2</v>
      </c>
      <c r="C39" s="12">
        <f>14137.95+15080.48+0.15</f>
        <v>29218.58</v>
      </c>
      <c r="D39" s="13">
        <v>0</v>
      </c>
      <c r="E39" s="13">
        <v>0</v>
      </c>
      <c r="F39" s="13">
        <v>0</v>
      </c>
      <c r="G39" s="13">
        <v>0</v>
      </c>
      <c r="K39" s="2">
        <v>1</v>
      </c>
      <c r="L39" s="6" t="s">
        <v>0</v>
      </c>
      <c r="M39" s="12">
        <f>+C37</f>
        <v>43010.64</v>
      </c>
      <c r="N39" s="13">
        <f t="shared" ref="N39:N42" si="29">+M39</f>
        <v>43010.64</v>
      </c>
      <c r="O39" s="12"/>
      <c r="P39" s="12"/>
      <c r="Q39" s="12"/>
      <c r="R39" s="12">
        <f>+O39+P39+Q39</f>
        <v>0</v>
      </c>
      <c r="S39" s="12">
        <f>+N39-R39</f>
        <v>43010.64</v>
      </c>
    </row>
    <row r="40" spans="1:19" customFormat="1" x14ac:dyDescent="0.3">
      <c r="A40" s="2">
        <v>4</v>
      </c>
      <c r="B40" s="6" t="s">
        <v>3</v>
      </c>
      <c r="C40" s="12">
        <f>10147.8+10824.32+0.05</f>
        <v>20972.17</v>
      </c>
      <c r="D40" s="13">
        <v>0</v>
      </c>
      <c r="E40" s="13">
        <v>0</v>
      </c>
      <c r="F40" s="13">
        <v>0</v>
      </c>
      <c r="G40" s="13">
        <v>0</v>
      </c>
      <c r="K40" s="2">
        <v>2</v>
      </c>
      <c r="L40" s="6" t="s">
        <v>1</v>
      </c>
      <c r="M40" s="12">
        <f t="shared" ref="M40:M42" si="30">+C38</f>
        <v>29218.47</v>
      </c>
      <c r="N40" s="13">
        <f>+M40</f>
        <v>29218.47</v>
      </c>
      <c r="O40" s="12"/>
      <c r="P40" s="12"/>
      <c r="Q40" s="12"/>
      <c r="R40" s="12">
        <f>+O40+P40+Q40</f>
        <v>0</v>
      </c>
      <c r="S40" s="12">
        <f>+N40-R40</f>
        <v>29218.47</v>
      </c>
    </row>
    <row r="41" spans="1:19" customFormat="1" ht="18" x14ac:dyDescent="0.35">
      <c r="A41" s="1"/>
      <c r="B41" s="7" t="s">
        <v>10</v>
      </c>
      <c r="C41" s="15">
        <f>SUM(C37:C40)</f>
        <v>122419.86</v>
      </c>
      <c r="D41" s="15">
        <f t="shared" ref="D41" si="31">SUM(D37:D40)</f>
        <v>0</v>
      </c>
      <c r="E41" s="15">
        <f t="shared" ref="E41" si="32">SUM(E37:E40)</f>
        <v>0</v>
      </c>
      <c r="F41" s="15">
        <f t="shared" ref="F41" si="33">SUM(F37:F40)</f>
        <v>0</v>
      </c>
      <c r="G41" s="15">
        <f t="shared" ref="G41" si="34">SUM(G37:G40)</f>
        <v>0</v>
      </c>
      <c r="K41" s="2">
        <v>3</v>
      </c>
      <c r="L41" s="6" t="s">
        <v>2</v>
      </c>
      <c r="M41" s="12">
        <f t="shared" si="30"/>
        <v>29218.58</v>
      </c>
      <c r="N41" s="13">
        <f t="shared" si="29"/>
        <v>29218.58</v>
      </c>
      <c r="O41" s="12"/>
      <c r="P41" s="12"/>
      <c r="Q41" s="12"/>
      <c r="R41" s="12">
        <f>+O41+P41+Q41</f>
        <v>0</v>
      </c>
      <c r="S41" s="12">
        <f>+N41-R41</f>
        <v>29218.58</v>
      </c>
    </row>
    <row r="42" spans="1:19" x14ac:dyDescent="0.3">
      <c r="I42"/>
      <c r="K42" s="2">
        <v>4</v>
      </c>
      <c r="L42" s="6" t="s">
        <v>3</v>
      </c>
      <c r="M42" s="12">
        <f t="shared" si="30"/>
        <v>20972.17</v>
      </c>
      <c r="N42" s="13">
        <f t="shared" si="29"/>
        <v>20972.17</v>
      </c>
      <c r="O42" s="12">
        <f>1673.86+1529.35</f>
        <v>3203.21</v>
      </c>
      <c r="P42" s="12">
        <f>291.84+311.31</f>
        <v>603.15</v>
      </c>
      <c r="Q42" s="12">
        <v>0.01</v>
      </c>
      <c r="R42" s="12">
        <f>+O42+P42+Q42</f>
        <v>3806.3700000000003</v>
      </c>
      <c r="S42" s="12">
        <f>+N42-R42</f>
        <v>17165.8</v>
      </c>
    </row>
    <row r="43" spans="1:19" customFormat="1" ht="18" x14ac:dyDescent="0.35">
      <c r="A43" s="3"/>
      <c r="B43" s="30" t="s">
        <v>42</v>
      </c>
      <c r="C43" s="30"/>
      <c r="D43" s="30"/>
      <c r="E43" s="30"/>
      <c r="F43" s="30"/>
      <c r="G43" s="30"/>
      <c r="K43" s="1"/>
      <c r="L43" s="7" t="s">
        <v>10</v>
      </c>
      <c r="M43" s="8">
        <f>SUM(M39:M42)</f>
        <v>122419.86</v>
      </c>
      <c r="N43" s="8">
        <f t="shared" ref="N43:Q43" si="35">SUM(N39:N42)</f>
        <v>122419.86</v>
      </c>
      <c r="O43" s="8">
        <f t="shared" si="35"/>
        <v>3203.21</v>
      </c>
      <c r="P43" s="8">
        <f t="shared" si="35"/>
        <v>603.15</v>
      </c>
      <c r="Q43" s="8">
        <f t="shared" si="35"/>
        <v>0.01</v>
      </c>
      <c r="R43" s="8">
        <f>SUM(R39:R42)</f>
        <v>3806.3700000000003</v>
      </c>
      <c r="S43" s="8">
        <f>SUM(S39:S42)</f>
        <v>118613.49</v>
      </c>
    </row>
    <row r="44" spans="1:19" customFormat="1" ht="28.8" x14ac:dyDescent="0.3">
      <c r="A44" s="10" t="s">
        <v>11</v>
      </c>
      <c r="B44" s="9" t="s">
        <v>4</v>
      </c>
      <c r="C44" s="14" t="s">
        <v>5</v>
      </c>
      <c r="D44" s="9" t="s">
        <v>6</v>
      </c>
      <c r="E44" s="9" t="s">
        <v>7</v>
      </c>
      <c r="F44" s="9" t="s">
        <v>8</v>
      </c>
      <c r="G44" s="9" t="s">
        <v>9</v>
      </c>
    </row>
    <row r="45" spans="1:19" customFormat="1" x14ac:dyDescent="0.3">
      <c r="A45" s="2">
        <v>1</v>
      </c>
      <c r="B45" s="6" t="s">
        <v>0</v>
      </c>
      <c r="C45" s="12">
        <f>20811.6+20811.6+0.14</f>
        <v>41623.339999999997</v>
      </c>
      <c r="D45" s="13">
        <v>0</v>
      </c>
      <c r="E45" s="13">
        <v>0</v>
      </c>
      <c r="F45" s="13">
        <v>0</v>
      </c>
      <c r="G45" s="13">
        <v>0</v>
      </c>
    </row>
    <row r="46" spans="1:19" customFormat="1" ht="18" x14ac:dyDescent="0.35">
      <c r="A46" s="2">
        <v>2</v>
      </c>
      <c r="B46" s="6" t="s">
        <v>1</v>
      </c>
      <c r="C46" s="12">
        <f>14137.95*2+0.04+0.04</f>
        <v>28275.980000000003</v>
      </c>
      <c r="D46" s="13">
        <v>0</v>
      </c>
      <c r="E46" s="13">
        <v>0</v>
      </c>
      <c r="F46" s="13">
        <v>0</v>
      </c>
      <c r="G46" s="13">
        <v>0</v>
      </c>
      <c r="K46" s="3"/>
      <c r="L46" s="30" t="s">
        <v>86</v>
      </c>
      <c r="M46" s="30"/>
      <c r="N46" s="30"/>
      <c r="O46" s="30"/>
      <c r="P46" s="30"/>
      <c r="Q46" s="30"/>
    </row>
    <row r="47" spans="1:19" customFormat="1" ht="28.8" x14ac:dyDescent="0.3">
      <c r="A47" s="2">
        <v>3</v>
      </c>
      <c r="B47" s="6" t="s">
        <v>2</v>
      </c>
      <c r="C47" s="12">
        <f>14137.95*2+0.04</f>
        <v>28275.940000000002</v>
      </c>
      <c r="D47" s="13">
        <v>0</v>
      </c>
      <c r="E47" s="13">
        <v>0</v>
      </c>
      <c r="F47" s="13">
        <v>0</v>
      </c>
      <c r="G47" s="13">
        <v>0</v>
      </c>
      <c r="K47" s="10" t="s">
        <v>11</v>
      </c>
      <c r="L47" s="9" t="s">
        <v>4</v>
      </c>
      <c r="M47" s="23" t="s">
        <v>5</v>
      </c>
      <c r="N47" s="23" t="s">
        <v>54</v>
      </c>
      <c r="O47" s="23" t="s">
        <v>55</v>
      </c>
      <c r="P47" s="23" t="s">
        <v>57</v>
      </c>
      <c r="Q47" s="23" t="s">
        <v>56</v>
      </c>
      <c r="R47" s="23" t="s">
        <v>58</v>
      </c>
      <c r="S47" s="23" t="s">
        <v>59</v>
      </c>
    </row>
    <row r="48" spans="1:19" customFormat="1" x14ac:dyDescent="0.3">
      <c r="A48" s="2">
        <v>4</v>
      </c>
      <c r="B48" s="6" t="s">
        <v>3</v>
      </c>
      <c r="C48" s="12">
        <f>10147.8*2</f>
        <v>20295.599999999999</v>
      </c>
      <c r="D48" s="13">
        <v>0</v>
      </c>
      <c r="E48" s="13">
        <v>0</v>
      </c>
      <c r="F48" s="13">
        <v>0</v>
      </c>
      <c r="G48" s="13">
        <v>0</v>
      </c>
      <c r="K48" s="2">
        <v>1</v>
      </c>
      <c r="L48" s="6" t="s">
        <v>0</v>
      </c>
      <c r="M48" s="12">
        <f>+C45</f>
        <v>41623.339999999997</v>
      </c>
      <c r="N48" s="13">
        <f t="shared" ref="N48:N51" si="36">+M48</f>
        <v>41623.339999999997</v>
      </c>
      <c r="O48" s="12"/>
      <c r="P48" s="12"/>
      <c r="Q48" s="12"/>
      <c r="R48" s="12">
        <f>+O48+P48+Q48</f>
        <v>0</v>
      </c>
      <c r="S48" s="12">
        <f>+N48-R48</f>
        <v>41623.339999999997</v>
      </c>
    </row>
    <row r="49" spans="1:19" customFormat="1" ht="18" x14ac:dyDescent="0.35">
      <c r="A49" s="1"/>
      <c r="B49" s="7" t="s">
        <v>10</v>
      </c>
      <c r="C49" s="15">
        <f>SUM(C45:C48)</f>
        <v>118470.86000000002</v>
      </c>
      <c r="D49" s="15">
        <f t="shared" ref="D49" si="37">SUM(D45:D48)</f>
        <v>0</v>
      </c>
      <c r="E49" s="15">
        <f t="shared" ref="E49" si="38">SUM(E45:E48)</f>
        <v>0</v>
      </c>
      <c r="F49" s="15">
        <f t="shared" ref="F49" si="39">SUM(F45:F48)</f>
        <v>0</v>
      </c>
      <c r="G49" s="15">
        <f t="shared" ref="G49" si="40">SUM(G45:G48)</f>
        <v>0</v>
      </c>
      <c r="K49" s="2">
        <v>2</v>
      </c>
      <c r="L49" s="6" t="s">
        <v>1</v>
      </c>
      <c r="M49" s="12">
        <f t="shared" ref="M49:M51" si="41">+C46</f>
        <v>28275.980000000003</v>
      </c>
      <c r="N49" s="13">
        <f>+M49</f>
        <v>28275.980000000003</v>
      </c>
      <c r="O49" s="12"/>
      <c r="P49" s="12"/>
      <c r="Q49" s="12"/>
      <c r="R49" s="12">
        <f>+O49+P49+Q49</f>
        <v>0</v>
      </c>
      <c r="S49" s="12">
        <f>+N49-R49</f>
        <v>28275.980000000003</v>
      </c>
    </row>
    <row r="50" spans="1:19" x14ac:dyDescent="0.3">
      <c r="I50"/>
      <c r="K50" s="2">
        <v>3</v>
      </c>
      <c r="L50" s="6" t="s">
        <v>2</v>
      </c>
      <c r="M50" s="12">
        <f t="shared" si="41"/>
        <v>28275.940000000002</v>
      </c>
      <c r="N50" s="13">
        <f t="shared" si="36"/>
        <v>28275.940000000002</v>
      </c>
      <c r="O50" s="12"/>
      <c r="P50" s="12"/>
      <c r="Q50" s="12"/>
      <c r="R50" s="12">
        <f>+O50+P50+Q50</f>
        <v>0</v>
      </c>
      <c r="S50" s="12">
        <f>+N50-R50</f>
        <v>28275.940000000002</v>
      </c>
    </row>
    <row r="51" spans="1:19" customFormat="1" ht="18" x14ac:dyDescent="0.35">
      <c r="A51" s="3"/>
      <c r="B51" s="30" t="s">
        <v>43</v>
      </c>
      <c r="C51" s="30"/>
      <c r="D51" s="30"/>
      <c r="E51" s="30"/>
      <c r="F51" s="30"/>
      <c r="G51" s="30"/>
      <c r="K51" s="2">
        <v>4</v>
      </c>
      <c r="L51" s="6" t="s">
        <v>3</v>
      </c>
      <c r="M51" s="12">
        <f t="shared" si="41"/>
        <v>20295.599999999999</v>
      </c>
      <c r="N51" s="13">
        <f t="shared" si="36"/>
        <v>20295.599999999999</v>
      </c>
      <c r="O51" s="12">
        <f>1529.35+1529.35</f>
        <v>3058.7</v>
      </c>
      <c r="P51" s="12">
        <f>291.84+291.84</f>
        <v>583.67999999999995</v>
      </c>
      <c r="Q51" s="12">
        <f>0.01+0.01</f>
        <v>0.02</v>
      </c>
      <c r="R51" s="12">
        <f>+O51+P51+Q51</f>
        <v>3642.3999999999996</v>
      </c>
      <c r="S51" s="12">
        <f>+N51-R51</f>
        <v>16653.199999999997</v>
      </c>
    </row>
    <row r="52" spans="1:19" customFormat="1" ht="29.4" x14ac:dyDescent="0.35">
      <c r="A52" s="10" t="s">
        <v>11</v>
      </c>
      <c r="B52" s="9" t="s">
        <v>4</v>
      </c>
      <c r="C52" s="14" t="s">
        <v>5</v>
      </c>
      <c r="D52" s="9" t="s">
        <v>6</v>
      </c>
      <c r="E52" s="9" t="s">
        <v>7</v>
      </c>
      <c r="F52" s="9" t="s">
        <v>8</v>
      </c>
      <c r="G52" s="9" t="s">
        <v>9</v>
      </c>
      <c r="K52" s="1"/>
      <c r="L52" s="7" t="s">
        <v>10</v>
      </c>
      <c r="M52" s="8">
        <f>SUM(M48:M51)</f>
        <v>118470.86000000002</v>
      </c>
      <c r="N52" s="8">
        <f t="shared" ref="N52:Q52" si="42">SUM(N48:N51)</f>
        <v>118470.86000000002</v>
      </c>
      <c r="O52" s="8">
        <f t="shared" si="42"/>
        <v>3058.7</v>
      </c>
      <c r="P52" s="8">
        <f t="shared" si="42"/>
        <v>583.67999999999995</v>
      </c>
      <c r="Q52" s="8">
        <f t="shared" si="42"/>
        <v>0.02</v>
      </c>
      <c r="R52" s="8">
        <f>SUM(R48:R51)</f>
        <v>3642.3999999999996</v>
      </c>
      <c r="S52" s="8">
        <f>SUM(S48:S51)</f>
        <v>114828.46</v>
      </c>
    </row>
    <row r="53" spans="1:19" customFormat="1" x14ac:dyDescent="0.3">
      <c r="A53" s="2">
        <v>1</v>
      </c>
      <c r="B53" s="6" t="s">
        <v>0</v>
      </c>
      <c r="C53" s="12">
        <f>22199.04+20811.6</f>
        <v>43010.64</v>
      </c>
      <c r="D53" s="13">
        <v>0</v>
      </c>
      <c r="E53" s="13">
        <v>0</v>
      </c>
      <c r="F53" s="13">
        <v>0</v>
      </c>
      <c r="G53" s="13">
        <v>0</v>
      </c>
    </row>
    <row r="54" spans="1:19" customFormat="1" ht="18" x14ac:dyDescent="0.35">
      <c r="A54" s="2">
        <v>2</v>
      </c>
      <c r="B54" s="6" t="s">
        <v>1</v>
      </c>
      <c r="C54" s="12">
        <f>14137.95+15080.48+0.04</f>
        <v>29218.47</v>
      </c>
      <c r="D54" s="13">
        <v>0</v>
      </c>
      <c r="E54" s="13">
        <v>0</v>
      </c>
      <c r="F54" s="13">
        <v>0</v>
      </c>
      <c r="G54" s="13">
        <v>0</v>
      </c>
      <c r="K54" s="3"/>
      <c r="L54" s="30" t="s">
        <v>87</v>
      </c>
      <c r="M54" s="30"/>
      <c r="N54" s="30"/>
      <c r="O54" s="30"/>
      <c r="P54" s="30"/>
      <c r="Q54" s="30"/>
    </row>
    <row r="55" spans="1:19" customFormat="1" ht="28.8" x14ac:dyDescent="0.3">
      <c r="A55" s="2">
        <v>3</v>
      </c>
      <c r="B55" s="6" t="s">
        <v>2</v>
      </c>
      <c r="C55" s="12">
        <f>14137.95+15080.48+0.04</f>
        <v>29218.47</v>
      </c>
      <c r="D55" s="13">
        <v>0</v>
      </c>
      <c r="E55" s="13">
        <v>0</v>
      </c>
      <c r="F55" s="13">
        <v>0</v>
      </c>
      <c r="G55" s="13">
        <v>0</v>
      </c>
      <c r="K55" s="10" t="s">
        <v>11</v>
      </c>
      <c r="L55" s="9" t="s">
        <v>4</v>
      </c>
      <c r="M55" s="23" t="s">
        <v>5</v>
      </c>
      <c r="N55" s="23" t="s">
        <v>54</v>
      </c>
      <c r="O55" s="23" t="s">
        <v>55</v>
      </c>
      <c r="P55" s="23" t="s">
        <v>57</v>
      </c>
      <c r="Q55" s="23" t="s">
        <v>56</v>
      </c>
      <c r="R55" s="23" t="s">
        <v>58</v>
      </c>
      <c r="S55" s="23" t="s">
        <v>59</v>
      </c>
    </row>
    <row r="56" spans="1:19" customFormat="1" x14ac:dyDescent="0.3">
      <c r="A56" s="2">
        <v>4</v>
      </c>
      <c r="B56" s="6" t="s">
        <v>3</v>
      </c>
      <c r="C56" s="12">
        <f>10147.8+10824.32+0.05</f>
        <v>20972.17</v>
      </c>
      <c r="D56" s="13">
        <v>0</v>
      </c>
      <c r="E56" s="13">
        <v>0</v>
      </c>
      <c r="F56" s="13">
        <v>0</v>
      </c>
      <c r="G56" s="13">
        <v>0</v>
      </c>
      <c r="K56" s="2">
        <v>1</v>
      </c>
      <c r="L56" s="6" t="s">
        <v>0</v>
      </c>
      <c r="M56" s="12">
        <f>+C53</f>
        <v>43010.64</v>
      </c>
      <c r="N56" s="13">
        <f t="shared" ref="N56:N59" si="43">+M56</f>
        <v>43010.64</v>
      </c>
      <c r="O56" s="12"/>
      <c r="P56" s="12"/>
      <c r="Q56" s="12"/>
      <c r="R56" s="12">
        <f>+O56+P56+Q56</f>
        <v>0</v>
      </c>
      <c r="S56" s="12">
        <f>+N56-R56</f>
        <v>43010.64</v>
      </c>
    </row>
    <row r="57" spans="1:19" customFormat="1" ht="18" x14ac:dyDescent="0.35">
      <c r="A57" s="1"/>
      <c r="B57" s="7" t="s">
        <v>10</v>
      </c>
      <c r="C57" s="15">
        <f>SUM(C53:C56)</f>
        <v>122419.75</v>
      </c>
      <c r="D57" s="15">
        <f t="shared" ref="D57" si="44">SUM(D53:D56)</f>
        <v>0</v>
      </c>
      <c r="E57" s="15">
        <f t="shared" ref="E57" si="45">SUM(E53:E56)</f>
        <v>0</v>
      </c>
      <c r="F57" s="15">
        <f t="shared" ref="F57" si="46">SUM(F53:F56)</f>
        <v>0</v>
      </c>
      <c r="G57" s="15">
        <f t="shared" ref="G57" si="47">SUM(G53:G56)</f>
        <v>0</v>
      </c>
      <c r="K57" s="2">
        <v>2</v>
      </c>
      <c r="L57" s="6" t="s">
        <v>1</v>
      </c>
      <c r="M57" s="12">
        <f t="shared" ref="M57:M59" si="48">+C54</f>
        <v>29218.47</v>
      </c>
      <c r="N57" s="13">
        <f>+M57</f>
        <v>29218.47</v>
      </c>
      <c r="O57" s="12"/>
      <c r="P57" s="12"/>
      <c r="Q57" s="12"/>
      <c r="R57" s="12">
        <f>+O57+P57+Q57</f>
        <v>0</v>
      </c>
      <c r="S57" s="12">
        <f>+N57-R57</f>
        <v>29218.47</v>
      </c>
    </row>
    <row r="58" spans="1:19" x14ac:dyDescent="0.3">
      <c r="I58"/>
      <c r="K58" s="2">
        <v>3</v>
      </c>
      <c r="L58" s="6" t="s">
        <v>2</v>
      </c>
      <c r="M58" s="12">
        <f t="shared" si="48"/>
        <v>29218.47</v>
      </c>
      <c r="N58" s="13">
        <f t="shared" si="43"/>
        <v>29218.47</v>
      </c>
      <c r="O58" s="12"/>
      <c r="P58" s="12"/>
      <c r="Q58" s="12"/>
      <c r="R58" s="12">
        <f>+O58+P58+Q58</f>
        <v>0</v>
      </c>
      <c r="S58" s="12">
        <f>+N58-R58</f>
        <v>29218.47</v>
      </c>
    </row>
    <row r="59" spans="1:19" customFormat="1" ht="18" x14ac:dyDescent="0.35">
      <c r="A59" s="3"/>
      <c r="B59" s="30" t="s">
        <v>44</v>
      </c>
      <c r="C59" s="30"/>
      <c r="D59" s="30"/>
      <c r="E59" s="30"/>
      <c r="F59" s="30"/>
      <c r="G59" s="30"/>
      <c r="K59" s="2">
        <v>4</v>
      </c>
      <c r="L59" s="6" t="s">
        <v>3</v>
      </c>
      <c r="M59" s="12">
        <f t="shared" si="48"/>
        <v>20972.17</v>
      </c>
      <c r="N59" s="13">
        <f t="shared" si="43"/>
        <v>20972.17</v>
      </c>
      <c r="O59" s="12">
        <f>1673.86+1529.35</f>
        <v>3203.21</v>
      </c>
      <c r="P59" s="12">
        <f>291.84+311.31</f>
        <v>603.15</v>
      </c>
      <c r="Q59" s="12">
        <v>0.01</v>
      </c>
      <c r="R59" s="12">
        <f>+O59+P59+Q59</f>
        <v>3806.3700000000003</v>
      </c>
      <c r="S59" s="12">
        <f>+N59-R59</f>
        <v>17165.8</v>
      </c>
    </row>
    <row r="60" spans="1:19" customFormat="1" ht="29.4" x14ac:dyDescent="0.35">
      <c r="A60" s="10" t="s">
        <v>11</v>
      </c>
      <c r="B60" s="9" t="s">
        <v>4</v>
      </c>
      <c r="C60" s="14" t="s">
        <v>5</v>
      </c>
      <c r="D60" s="9" t="s">
        <v>6</v>
      </c>
      <c r="E60" s="9" t="s">
        <v>7</v>
      </c>
      <c r="F60" s="9" t="s">
        <v>8</v>
      </c>
      <c r="G60" s="9" t="s">
        <v>9</v>
      </c>
      <c r="K60" s="1"/>
      <c r="L60" s="7" t="s">
        <v>10</v>
      </c>
      <c r="M60" s="8">
        <f>SUM(M56:M59)</f>
        <v>122419.75</v>
      </c>
      <c r="N60" s="8">
        <f t="shared" ref="N60:Q60" si="49">SUM(N56:N59)</f>
        <v>122419.75</v>
      </c>
      <c r="O60" s="8">
        <f t="shared" si="49"/>
        <v>3203.21</v>
      </c>
      <c r="P60" s="8">
        <f t="shared" si="49"/>
        <v>603.15</v>
      </c>
      <c r="Q60" s="8">
        <f t="shared" si="49"/>
        <v>0.01</v>
      </c>
      <c r="R60" s="8">
        <f>SUM(R56:R59)</f>
        <v>3806.3700000000003</v>
      </c>
      <c r="S60" s="8">
        <f>SUM(S56:S59)</f>
        <v>118613.38</v>
      </c>
    </row>
    <row r="61" spans="1:19" customFormat="1" ht="18" x14ac:dyDescent="0.35">
      <c r="A61" s="2">
        <v>1</v>
      </c>
      <c r="B61" s="6" t="s">
        <v>0</v>
      </c>
      <c r="C61" s="12">
        <f>22199.04+20811.6+0.14</f>
        <v>43010.78</v>
      </c>
      <c r="D61" s="13">
        <v>0</v>
      </c>
      <c r="E61" s="13">
        <v>0</v>
      </c>
      <c r="F61" s="13">
        <v>0</v>
      </c>
      <c r="G61" s="13">
        <v>0</v>
      </c>
      <c r="L61" s="28"/>
      <c r="M61" s="29"/>
      <c r="N61" s="29"/>
      <c r="O61" s="29"/>
      <c r="P61" s="29"/>
      <c r="Q61" s="29"/>
    </row>
    <row r="62" spans="1:19" customFormat="1" ht="18" x14ac:dyDescent="0.35">
      <c r="A62" s="2">
        <v>2</v>
      </c>
      <c r="B62" s="6" t="s">
        <v>1</v>
      </c>
      <c r="C62" s="12">
        <f>14137.95+15080.48+0.04</f>
        <v>29218.47</v>
      </c>
      <c r="D62" s="13">
        <v>0</v>
      </c>
      <c r="E62" s="13">
        <v>0</v>
      </c>
      <c r="F62" s="13">
        <v>0</v>
      </c>
      <c r="G62" s="13">
        <v>0</v>
      </c>
      <c r="K62" s="3"/>
      <c r="L62" s="30" t="s">
        <v>88</v>
      </c>
      <c r="M62" s="30"/>
      <c r="N62" s="30"/>
      <c r="O62" s="30"/>
      <c r="P62" s="30"/>
      <c r="Q62" s="30"/>
    </row>
    <row r="63" spans="1:19" customFormat="1" ht="28.8" x14ac:dyDescent="0.3">
      <c r="A63" s="2">
        <v>3</v>
      </c>
      <c r="B63" s="6" t="s">
        <v>2</v>
      </c>
      <c r="C63" s="12">
        <f>14137.95+15080.48+0.04</f>
        <v>29218.47</v>
      </c>
      <c r="D63" s="13">
        <v>0</v>
      </c>
      <c r="E63" s="13">
        <v>0</v>
      </c>
      <c r="F63" s="13">
        <v>0</v>
      </c>
      <c r="G63" s="13">
        <v>0</v>
      </c>
      <c r="K63" s="10" t="s">
        <v>11</v>
      </c>
      <c r="L63" s="9" t="s">
        <v>4</v>
      </c>
      <c r="M63" s="23" t="s">
        <v>5</v>
      </c>
      <c r="N63" s="23" t="s">
        <v>54</v>
      </c>
      <c r="O63" s="23" t="s">
        <v>55</v>
      </c>
      <c r="P63" s="23" t="s">
        <v>57</v>
      </c>
      <c r="Q63" s="23" t="s">
        <v>56</v>
      </c>
      <c r="R63" s="23" t="s">
        <v>58</v>
      </c>
      <c r="S63" s="23" t="s">
        <v>59</v>
      </c>
    </row>
    <row r="64" spans="1:19" customFormat="1" x14ac:dyDescent="0.3">
      <c r="A64" s="2">
        <v>4</v>
      </c>
      <c r="B64" s="6" t="s">
        <v>3</v>
      </c>
      <c r="C64" s="12">
        <f>10147.8+10824.32</f>
        <v>20972.12</v>
      </c>
      <c r="D64" s="13">
        <v>0</v>
      </c>
      <c r="E64" s="13">
        <v>0</v>
      </c>
      <c r="F64" s="13">
        <v>0</v>
      </c>
      <c r="G64" s="13">
        <v>0</v>
      </c>
      <c r="K64" s="2">
        <v>1</v>
      </c>
      <c r="L64" s="6" t="s">
        <v>0</v>
      </c>
      <c r="M64" s="12">
        <f>+C61</f>
        <v>43010.78</v>
      </c>
      <c r="N64" s="13">
        <f t="shared" ref="N64:N67" si="50">+M64</f>
        <v>43010.78</v>
      </c>
      <c r="O64" s="12"/>
      <c r="P64" s="12"/>
      <c r="Q64" s="12"/>
      <c r="R64" s="12">
        <f>+O64+P64+Q64</f>
        <v>0</v>
      </c>
      <c r="S64" s="12">
        <f>+N64-R64</f>
        <v>43010.78</v>
      </c>
    </row>
    <row r="65" spans="1:19" customFormat="1" ht="18" x14ac:dyDescent="0.35">
      <c r="A65" s="1"/>
      <c r="B65" s="7" t="s">
        <v>10</v>
      </c>
      <c r="C65" s="15">
        <f>SUM(C61:C64)</f>
        <v>122419.84</v>
      </c>
      <c r="D65" s="15">
        <f t="shared" ref="D65" si="51">SUM(D61:D64)</f>
        <v>0</v>
      </c>
      <c r="E65" s="15">
        <f t="shared" ref="E65" si="52">SUM(E61:E64)</f>
        <v>0</v>
      </c>
      <c r="F65" s="15">
        <f t="shared" ref="F65" si="53">SUM(F61:F64)</f>
        <v>0</v>
      </c>
      <c r="G65" s="15">
        <f t="shared" ref="G65" si="54">SUM(G61:G64)</f>
        <v>0</v>
      </c>
      <c r="K65" s="2">
        <v>2</v>
      </c>
      <c r="L65" s="6" t="s">
        <v>1</v>
      </c>
      <c r="M65" s="12">
        <f t="shared" ref="M65:M67" si="55">+C62</f>
        <v>29218.47</v>
      </c>
      <c r="N65" s="13">
        <f>+M65</f>
        <v>29218.47</v>
      </c>
      <c r="O65" s="12"/>
      <c r="P65" s="12"/>
      <c r="Q65" s="12"/>
      <c r="R65" s="12">
        <f>+O65+P65+Q65</f>
        <v>0</v>
      </c>
      <c r="S65" s="12">
        <f>+N65-R65</f>
        <v>29218.47</v>
      </c>
    </row>
    <row r="66" spans="1:19" x14ac:dyDescent="0.3">
      <c r="K66" s="2">
        <v>3</v>
      </c>
      <c r="L66" s="6" t="s">
        <v>2</v>
      </c>
      <c r="M66" s="12">
        <f t="shared" si="55"/>
        <v>29218.47</v>
      </c>
      <c r="N66" s="13">
        <f t="shared" si="50"/>
        <v>29218.47</v>
      </c>
      <c r="O66" s="12"/>
      <c r="P66" s="12"/>
      <c r="Q66" s="12"/>
      <c r="R66" s="12">
        <f>+O66+P66+Q66</f>
        <v>0</v>
      </c>
      <c r="S66" s="12">
        <f>+N66-R66</f>
        <v>29218.47</v>
      </c>
    </row>
    <row r="67" spans="1:19" x14ac:dyDescent="0.3">
      <c r="K67" s="2">
        <v>4</v>
      </c>
      <c r="L67" s="6" t="s">
        <v>3</v>
      </c>
      <c r="M67" s="12">
        <f t="shared" si="55"/>
        <v>20972.12</v>
      </c>
      <c r="N67" s="13">
        <f t="shared" si="50"/>
        <v>20972.12</v>
      </c>
      <c r="O67" s="12">
        <f>1673.86+1529.35</f>
        <v>3203.21</v>
      </c>
      <c r="P67" s="12">
        <f>311.31+291.84</f>
        <v>603.15</v>
      </c>
      <c r="Q67" s="12">
        <f>0.01+0.15</f>
        <v>0.16</v>
      </c>
      <c r="R67" s="12">
        <f>+O67+P67+Q67</f>
        <v>3806.52</v>
      </c>
      <c r="S67" s="12">
        <f>+N67-R67</f>
        <v>17165.599999999999</v>
      </c>
    </row>
    <row r="68" spans="1:19" customFormat="1" ht="18" x14ac:dyDescent="0.35">
      <c r="A68" s="3"/>
      <c r="B68" s="30" t="s">
        <v>45</v>
      </c>
      <c r="C68" s="30"/>
      <c r="D68" s="30"/>
      <c r="E68" s="30"/>
      <c r="F68" s="30"/>
      <c r="G68" s="30"/>
      <c r="K68" s="1"/>
      <c r="L68" s="7" t="s">
        <v>10</v>
      </c>
      <c r="M68" s="8">
        <f>SUM(M64:M67)</f>
        <v>122419.84</v>
      </c>
      <c r="N68" s="8">
        <f t="shared" ref="N68:Q68" si="56">SUM(N64:N67)</f>
        <v>122419.84</v>
      </c>
      <c r="O68" s="8">
        <f t="shared" si="56"/>
        <v>3203.21</v>
      </c>
      <c r="P68" s="8">
        <f t="shared" si="56"/>
        <v>603.15</v>
      </c>
      <c r="Q68" s="8">
        <f t="shared" si="56"/>
        <v>0.16</v>
      </c>
      <c r="R68" s="8">
        <f>SUM(R64:R67)</f>
        <v>3806.52</v>
      </c>
      <c r="S68" s="8">
        <f>SUM(S64:S67)</f>
        <v>118613.32</v>
      </c>
    </row>
    <row r="69" spans="1:19" customFormat="1" ht="28.8" x14ac:dyDescent="0.3">
      <c r="A69" s="10" t="s">
        <v>11</v>
      </c>
      <c r="B69" s="9" t="s">
        <v>4</v>
      </c>
      <c r="C69" s="14" t="s">
        <v>5</v>
      </c>
      <c r="D69" s="9" t="s">
        <v>6</v>
      </c>
      <c r="E69" s="9" t="s">
        <v>7</v>
      </c>
      <c r="F69" s="9" t="s">
        <v>8</v>
      </c>
      <c r="G69" s="9" t="s">
        <v>9</v>
      </c>
    </row>
    <row r="70" spans="1:19" customFormat="1" ht="18" x14ac:dyDescent="0.35">
      <c r="A70" s="2">
        <v>1</v>
      </c>
      <c r="B70" s="6" t="s">
        <v>0</v>
      </c>
      <c r="C70" s="12">
        <f>20811.6*2+0.14</f>
        <v>41623.339999999997</v>
      </c>
      <c r="D70" s="13">
        <v>0</v>
      </c>
      <c r="E70" s="13">
        <v>0</v>
      </c>
      <c r="F70" s="13">
        <v>0</v>
      </c>
      <c r="G70" s="13">
        <v>0</v>
      </c>
      <c r="K70" s="3"/>
      <c r="L70" s="30" t="s">
        <v>89</v>
      </c>
      <c r="M70" s="30"/>
      <c r="N70" s="30"/>
      <c r="O70" s="30"/>
      <c r="P70" s="30"/>
      <c r="Q70" s="30"/>
    </row>
    <row r="71" spans="1:19" customFormat="1" ht="28.8" x14ac:dyDescent="0.3">
      <c r="A71" s="2">
        <v>2</v>
      </c>
      <c r="B71" s="6" t="s">
        <v>1</v>
      </c>
      <c r="C71" s="12">
        <f>14137.95+14137.95+0.04+0.04</f>
        <v>28275.980000000003</v>
      </c>
      <c r="D71" s="13">
        <v>0</v>
      </c>
      <c r="E71" s="13">
        <v>0</v>
      </c>
      <c r="F71" s="13">
        <v>0</v>
      </c>
      <c r="G71" s="13">
        <v>0</v>
      </c>
      <c r="K71" s="10" t="s">
        <v>11</v>
      </c>
      <c r="L71" s="9" t="s">
        <v>4</v>
      </c>
      <c r="M71" s="23" t="s">
        <v>5</v>
      </c>
      <c r="N71" s="23" t="s">
        <v>54</v>
      </c>
      <c r="O71" s="23" t="s">
        <v>55</v>
      </c>
      <c r="P71" s="23" t="s">
        <v>57</v>
      </c>
      <c r="Q71" s="23" t="s">
        <v>56</v>
      </c>
      <c r="R71" s="23" t="s">
        <v>58</v>
      </c>
      <c r="S71" s="23" t="s">
        <v>59</v>
      </c>
    </row>
    <row r="72" spans="1:19" customFormat="1" x14ac:dyDescent="0.3">
      <c r="A72" s="2">
        <v>3</v>
      </c>
      <c r="B72" s="6" t="s">
        <v>2</v>
      </c>
      <c r="C72" s="12">
        <f>14137.95*2+0.04+0.04</f>
        <v>28275.980000000003</v>
      </c>
      <c r="D72" s="13">
        <v>0</v>
      </c>
      <c r="E72" s="13">
        <v>0</v>
      </c>
      <c r="F72" s="13">
        <v>0</v>
      </c>
      <c r="G72" s="13">
        <v>0</v>
      </c>
      <c r="K72" s="2">
        <v>1</v>
      </c>
      <c r="L72" s="6" t="s">
        <v>0</v>
      </c>
      <c r="M72" s="12">
        <f>+C70</f>
        <v>41623.339999999997</v>
      </c>
      <c r="N72" s="13">
        <f t="shared" ref="N72:N75" si="57">+M72</f>
        <v>41623.339999999997</v>
      </c>
      <c r="O72" s="12"/>
      <c r="P72" s="12"/>
      <c r="Q72" s="12"/>
      <c r="R72" s="12">
        <f>+O72+P72+Q72</f>
        <v>0</v>
      </c>
      <c r="S72" s="12">
        <f>+N72-R72</f>
        <v>41623.339999999997</v>
      </c>
    </row>
    <row r="73" spans="1:19" customFormat="1" x14ac:dyDescent="0.3">
      <c r="A73" s="2">
        <v>4</v>
      </c>
      <c r="B73" s="6" t="s">
        <v>3</v>
      </c>
      <c r="C73" s="12">
        <f>10147.8*2</f>
        <v>20295.599999999999</v>
      </c>
      <c r="D73" s="13">
        <v>0</v>
      </c>
      <c r="E73" s="13">
        <v>0</v>
      </c>
      <c r="F73" s="13">
        <v>0</v>
      </c>
      <c r="G73" s="13">
        <v>0</v>
      </c>
      <c r="K73" s="2">
        <v>2</v>
      </c>
      <c r="L73" s="6" t="s">
        <v>1</v>
      </c>
      <c r="M73" s="12">
        <f t="shared" ref="M73:M75" si="58">+C71</f>
        <v>28275.980000000003</v>
      </c>
      <c r="N73" s="13">
        <f>+M73</f>
        <v>28275.980000000003</v>
      </c>
      <c r="O73" s="12"/>
      <c r="P73" s="12"/>
      <c r="Q73" s="12"/>
      <c r="R73" s="12">
        <f>+O73+P73+Q73</f>
        <v>0</v>
      </c>
      <c r="S73" s="12">
        <f>+N73-R73</f>
        <v>28275.980000000003</v>
      </c>
    </row>
    <row r="74" spans="1:19" customFormat="1" ht="18" x14ac:dyDescent="0.35">
      <c r="A74" s="1"/>
      <c r="B74" s="7" t="s">
        <v>10</v>
      </c>
      <c r="C74" s="15">
        <f>SUM(C70:C73)</f>
        <v>118470.90000000002</v>
      </c>
      <c r="D74" s="15">
        <f t="shared" ref="D74" si="59">SUM(D70:D73)</f>
        <v>0</v>
      </c>
      <c r="E74" s="15">
        <f t="shared" ref="E74" si="60">SUM(E70:E73)</f>
        <v>0</v>
      </c>
      <c r="F74" s="15">
        <f t="shared" ref="F74" si="61">SUM(F70:F73)</f>
        <v>0</v>
      </c>
      <c r="G74" s="15">
        <f t="shared" ref="G74" si="62">SUM(G70:G73)</f>
        <v>0</v>
      </c>
      <c r="K74" s="2">
        <v>3</v>
      </c>
      <c r="L74" s="6" t="s">
        <v>2</v>
      </c>
      <c r="M74" s="12">
        <f t="shared" si="58"/>
        <v>28275.980000000003</v>
      </c>
      <c r="N74" s="13">
        <f t="shared" si="57"/>
        <v>28275.980000000003</v>
      </c>
      <c r="O74" s="12"/>
      <c r="P74" s="12"/>
      <c r="Q74" s="12"/>
      <c r="R74" s="12">
        <f>+O74+P74+Q74</f>
        <v>0</v>
      </c>
      <c r="S74" s="12">
        <f>+N74-R74</f>
        <v>28275.980000000003</v>
      </c>
    </row>
    <row r="75" spans="1:19" x14ac:dyDescent="0.3">
      <c r="K75" s="2">
        <v>4</v>
      </c>
      <c r="L75" s="6" t="s">
        <v>3</v>
      </c>
      <c r="M75" s="12">
        <f t="shared" si="58"/>
        <v>20295.599999999999</v>
      </c>
      <c r="N75" s="13">
        <f t="shared" si="57"/>
        <v>20295.599999999999</v>
      </c>
      <c r="O75" s="12">
        <f>1529.35+1529.35</f>
        <v>3058.7</v>
      </c>
      <c r="P75" s="12">
        <f>291.84*2</f>
        <v>583.67999999999995</v>
      </c>
      <c r="Q75" s="12">
        <f>0.01+0.01</f>
        <v>0.02</v>
      </c>
      <c r="R75" s="12">
        <f>+O75+P75+Q75</f>
        <v>3642.3999999999996</v>
      </c>
      <c r="S75" s="12">
        <f>+N75-R75</f>
        <v>16653.199999999997</v>
      </c>
    </row>
    <row r="76" spans="1:19" ht="18" x14ac:dyDescent="0.35">
      <c r="K76" s="1"/>
      <c r="L76" s="7" t="s">
        <v>10</v>
      </c>
      <c r="M76" s="8">
        <f>SUM(M72:M75)</f>
        <v>118470.90000000002</v>
      </c>
      <c r="N76" s="8">
        <f t="shared" ref="N76:Q76" si="63">SUM(N72:N75)</f>
        <v>118470.90000000002</v>
      </c>
      <c r="O76" s="8">
        <f t="shared" si="63"/>
        <v>3058.7</v>
      </c>
      <c r="P76" s="8">
        <f t="shared" si="63"/>
        <v>583.67999999999995</v>
      </c>
      <c r="Q76" s="8">
        <f t="shared" si="63"/>
        <v>0.02</v>
      </c>
      <c r="R76" s="8">
        <f>SUM(R72:R75)</f>
        <v>3642.3999999999996</v>
      </c>
      <c r="S76" s="8">
        <f>SUM(S72:S75)</f>
        <v>114828.50000000001</v>
      </c>
    </row>
    <row r="77" spans="1:19" customFormat="1" ht="18" x14ac:dyDescent="0.35">
      <c r="A77" s="3"/>
      <c r="B77" s="30" t="s">
        <v>46</v>
      </c>
      <c r="C77" s="30"/>
      <c r="D77" s="30"/>
      <c r="E77" s="30"/>
      <c r="F77" s="30"/>
      <c r="G77" s="30"/>
    </row>
    <row r="78" spans="1:19" customFormat="1" ht="29.4" x14ac:dyDescent="0.35">
      <c r="A78" s="10" t="s">
        <v>11</v>
      </c>
      <c r="B78" s="9" t="s">
        <v>4</v>
      </c>
      <c r="C78" s="14" t="s">
        <v>5</v>
      </c>
      <c r="D78" s="9" t="s">
        <v>6</v>
      </c>
      <c r="E78" s="9" t="s">
        <v>7</v>
      </c>
      <c r="F78" s="9" t="s">
        <v>8</v>
      </c>
      <c r="G78" s="9" t="s">
        <v>9</v>
      </c>
      <c r="K78" s="3"/>
      <c r="L78" s="30" t="s">
        <v>90</v>
      </c>
      <c r="M78" s="30"/>
      <c r="N78" s="30"/>
      <c r="O78" s="30"/>
      <c r="P78" s="30"/>
      <c r="Q78" s="30"/>
    </row>
    <row r="79" spans="1:19" customFormat="1" ht="28.8" x14ac:dyDescent="0.3">
      <c r="A79" s="2">
        <v>1</v>
      </c>
      <c r="B79" s="6" t="s">
        <v>0</v>
      </c>
      <c r="C79" s="12">
        <f>22199.04+20811.6</f>
        <v>43010.64</v>
      </c>
      <c r="D79" s="13">
        <v>0</v>
      </c>
      <c r="E79" s="13">
        <v>0</v>
      </c>
      <c r="F79" s="13">
        <v>3468</v>
      </c>
      <c r="G79" s="13">
        <v>0</v>
      </c>
      <c r="K79" s="10" t="s">
        <v>11</v>
      </c>
      <c r="L79" s="9" t="s">
        <v>4</v>
      </c>
      <c r="M79" s="23" t="s">
        <v>5</v>
      </c>
      <c r="N79" s="23" t="s">
        <v>54</v>
      </c>
      <c r="O79" s="23" t="s">
        <v>55</v>
      </c>
      <c r="P79" s="23" t="s">
        <v>57</v>
      </c>
      <c r="Q79" s="23" t="s">
        <v>56</v>
      </c>
      <c r="R79" s="23" t="s">
        <v>58</v>
      </c>
      <c r="S79" s="23" t="s">
        <v>59</v>
      </c>
    </row>
    <row r="80" spans="1:19" customFormat="1" x14ac:dyDescent="0.3">
      <c r="A80" s="2">
        <v>2</v>
      </c>
      <c r="B80" s="6" t="s">
        <v>1</v>
      </c>
      <c r="C80" s="12">
        <f>14137.95+15080.48+0.15</f>
        <v>29218.58</v>
      </c>
      <c r="D80" s="13">
        <v>0</v>
      </c>
      <c r="E80" s="13">
        <v>0</v>
      </c>
      <c r="F80" s="13">
        <v>2356.3200000000002</v>
      </c>
      <c r="G80" s="13">
        <v>0</v>
      </c>
      <c r="K80" s="2">
        <v>1</v>
      </c>
      <c r="L80" s="6" t="s">
        <v>0</v>
      </c>
      <c r="M80" s="12">
        <f>+C79+F79</f>
        <v>46478.64</v>
      </c>
      <c r="N80" s="13">
        <f t="shared" ref="N80:N83" si="64">+M80</f>
        <v>46478.64</v>
      </c>
      <c r="O80" s="12"/>
      <c r="P80" s="12"/>
      <c r="Q80" s="12"/>
      <c r="R80" s="12">
        <f>+O80+P80+Q80</f>
        <v>0</v>
      </c>
      <c r="S80" s="12">
        <f>+N80-R80</f>
        <v>46478.64</v>
      </c>
    </row>
    <row r="81" spans="1:19" customFormat="1" x14ac:dyDescent="0.3">
      <c r="A81" s="2">
        <v>3</v>
      </c>
      <c r="B81" s="6" t="s">
        <v>2</v>
      </c>
      <c r="C81" s="12">
        <f>14137.95+15080.48+0.05</f>
        <v>29218.48</v>
      </c>
      <c r="D81" s="13">
        <v>0</v>
      </c>
      <c r="E81" s="13">
        <v>0</v>
      </c>
      <c r="F81" s="13">
        <v>2356.3200000000002</v>
      </c>
      <c r="G81" s="13">
        <v>0</v>
      </c>
      <c r="K81" s="2">
        <v>2</v>
      </c>
      <c r="L81" s="6" t="s">
        <v>1</v>
      </c>
      <c r="M81" s="12">
        <f>+C80+F80</f>
        <v>31574.9</v>
      </c>
      <c r="N81" s="13">
        <f>+M81</f>
        <v>31574.9</v>
      </c>
      <c r="O81" s="12"/>
      <c r="P81" s="12"/>
      <c r="Q81" s="12"/>
      <c r="R81" s="12">
        <f>+O81+P81+Q81</f>
        <v>0</v>
      </c>
      <c r="S81" s="12">
        <f>+N81-R81</f>
        <v>31574.9</v>
      </c>
    </row>
    <row r="82" spans="1:19" customFormat="1" x14ac:dyDescent="0.3">
      <c r="A82" s="2">
        <v>4</v>
      </c>
      <c r="B82" s="6" t="s">
        <v>3</v>
      </c>
      <c r="C82" s="12">
        <f>10147.8+10824.32+0.05+0.05</f>
        <v>20972.219999999998</v>
      </c>
      <c r="D82" s="13">
        <v>0</v>
      </c>
      <c r="E82" s="13">
        <v>0</v>
      </c>
      <c r="F82" s="13">
        <v>1691.3</v>
      </c>
      <c r="G82" s="13">
        <v>0</v>
      </c>
      <c r="K82" s="2">
        <v>3</v>
      </c>
      <c r="L82" s="6" t="s">
        <v>2</v>
      </c>
      <c r="M82" s="12">
        <f>+C81+F81</f>
        <v>31574.799999999999</v>
      </c>
      <c r="N82" s="13">
        <f t="shared" si="64"/>
        <v>31574.799999999999</v>
      </c>
      <c r="O82" s="12"/>
      <c r="P82" s="12"/>
      <c r="Q82" s="12"/>
      <c r="R82" s="12">
        <f>+O82+P82+Q82</f>
        <v>0</v>
      </c>
      <c r="S82" s="12">
        <f>+N82-R82</f>
        <v>31574.799999999999</v>
      </c>
    </row>
    <row r="83" spans="1:19" customFormat="1" ht="18" x14ac:dyDescent="0.35">
      <c r="A83" s="1"/>
      <c r="B83" s="7" t="s">
        <v>10</v>
      </c>
      <c r="C83" s="15">
        <f>SUM(C79:C82)</f>
        <v>122419.92</v>
      </c>
      <c r="D83" s="15">
        <f t="shared" ref="D83" si="65">SUM(D79:D82)</f>
        <v>0</v>
      </c>
      <c r="E83" s="15">
        <f t="shared" ref="E83" si="66">SUM(E79:E82)</f>
        <v>0</v>
      </c>
      <c r="F83" s="15">
        <f t="shared" ref="F83" si="67">SUM(F79:F82)</f>
        <v>9871.9399999999987</v>
      </c>
      <c r="G83" s="15">
        <f t="shared" ref="G83" si="68">SUM(G79:G82)</f>
        <v>0</v>
      </c>
      <c r="K83" s="2">
        <v>4</v>
      </c>
      <c r="L83" s="6" t="s">
        <v>3</v>
      </c>
      <c r="M83" s="12">
        <f>+C82+F82</f>
        <v>22663.519999999997</v>
      </c>
      <c r="N83" s="13">
        <f t="shared" si="64"/>
        <v>22663.519999999997</v>
      </c>
      <c r="O83" s="12">
        <f>1673.86+1529.35+90.56</f>
        <v>3293.77</v>
      </c>
      <c r="P83" s="12">
        <f>291.84+311.31</f>
        <v>603.15</v>
      </c>
      <c r="Q83" s="12"/>
      <c r="R83" s="12">
        <f>+O83+P83+Q83</f>
        <v>3896.92</v>
      </c>
      <c r="S83" s="12">
        <f>+N83-R83</f>
        <v>18766.599999999999</v>
      </c>
    </row>
    <row r="84" spans="1:19" ht="18" x14ac:dyDescent="0.35">
      <c r="K84" s="1"/>
      <c r="L84" s="7" t="s">
        <v>10</v>
      </c>
      <c r="M84" s="8">
        <f>SUM(M80:M83)</f>
        <v>132291.86000000002</v>
      </c>
      <c r="N84" s="8">
        <f t="shared" ref="N84:Q84" si="69">SUM(N80:N83)</f>
        <v>132291.86000000002</v>
      </c>
      <c r="O84" s="8">
        <f t="shared" si="69"/>
        <v>3293.77</v>
      </c>
      <c r="P84" s="8">
        <f t="shared" si="69"/>
        <v>603.15</v>
      </c>
      <c r="Q84" s="8">
        <f t="shared" si="69"/>
        <v>0</v>
      </c>
      <c r="R84" s="8">
        <f>SUM(R80:R83)</f>
        <v>3896.92</v>
      </c>
      <c r="S84" s="8">
        <f>SUM(S80:S83)</f>
        <v>128394.94</v>
      </c>
    </row>
    <row r="85" spans="1:19" customFormat="1" ht="18" x14ac:dyDescent="0.35">
      <c r="A85" s="3"/>
      <c r="B85" s="30" t="s">
        <v>47</v>
      </c>
      <c r="C85" s="30"/>
      <c r="D85" s="30"/>
      <c r="E85" s="30"/>
      <c r="F85" s="30"/>
      <c r="G85" s="30"/>
    </row>
    <row r="86" spans="1:19" customFormat="1" ht="29.4" x14ac:dyDescent="0.35">
      <c r="A86" s="10" t="s">
        <v>11</v>
      </c>
      <c r="B86" s="9" t="s">
        <v>4</v>
      </c>
      <c r="C86" s="14" t="s">
        <v>5</v>
      </c>
      <c r="D86" s="9" t="s">
        <v>6</v>
      </c>
      <c r="E86" s="9" t="s">
        <v>7</v>
      </c>
      <c r="F86" s="9" t="s">
        <v>8</v>
      </c>
      <c r="G86" s="9" t="s">
        <v>9</v>
      </c>
      <c r="K86" s="3"/>
      <c r="L86" s="30" t="s">
        <v>91</v>
      </c>
      <c r="M86" s="30"/>
      <c r="N86" s="30"/>
      <c r="O86" s="30"/>
      <c r="P86" s="30"/>
      <c r="Q86" s="30"/>
    </row>
    <row r="87" spans="1:19" customFormat="1" ht="28.8" x14ac:dyDescent="0.3">
      <c r="A87" s="2">
        <v>1</v>
      </c>
      <c r="B87" s="6" t="s">
        <v>0</v>
      </c>
      <c r="C87" s="12">
        <f>20811.6+20811.6+0.14</f>
        <v>41623.339999999997</v>
      </c>
      <c r="D87" s="13">
        <v>0</v>
      </c>
      <c r="E87" s="13">
        <v>0</v>
      </c>
      <c r="F87" s="13">
        <v>0</v>
      </c>
      <c r="G87" s="13">
        <v>0</v>
      </c>
      <c r="K87" s="10" t="s">
        <v>11</v>
      </c>
      <c r="L87" s="9" t="s">
        <v>4</v>
      </c>
      <c r="M87" s="23" t="s">
        <v>5</v>
      </c>
      <c r="N87" s="23" t="s">
        <v>54</v>
      </c>
      <c r="O87" s="23" t="s">
        <v>55</v>
      </c>
      <c r="P87" s="23" t="s">
        <v>57</v>
      </c>
      <c r="Q87" s="23" t="s">
        <v>56</v>
      </c>
      <c r="R87" s="23" t="s">
        <v>58</v>
      </c>
      <c r="S87" s="23" t="s">
        <v>59</v>
      </c>
    </row>
    <row r="88" spans="1:19" customFormat="1" x14ac:dyDescent="0.3">
      <c r="A88" s="2">
        <v>2</v>
      </c>
      <c r="B88" s="6" t="s">
        <v>1</v>
      </c>
      <c r="C88" s="12">
        <f>14137.95*2+0.04</f>
        <v>28275.940000000002</v>
      </c>
      <c r="D88" s="13">
        <v>0</v>
      </c>
      <c r="E88" s="13">
        <v>0</v>
      </c>
      <c r="F88" s="13">
        <v>0</v>
      </c>
      <c r="G88" s="13">
        <v>0</v>
      </c>
      <c r="K88" s="2">
        <v>1</v>
      </c>
      <c r="L88" s="6" t="s">
        <v>0</v>
      </c>
      <c r="M88" s="12">
        <f>+C87</f>
        <v>41623.339999999997</v>
      </c>
      <c r="N88" s="13">
        <f t="shared" ref="N88:N91" si="70">+M88</f>
        <v>41623.339999999997</v>
      </c>
      <c r="O88" s="12"/>
      <c r="P88" s="12"/>
      <c r="Q88" s="12"/>
      <c r="R88" s="12">
        <f>+O88+P88+Q88</f>
        <v>0</v>
      </c>
      <c r="S88" s="12">
        <f>+N88-R88</f>
        <v>41623.339999999997</v>
      </c>
    </row>
    <row r="89" spans="1:19" customFormat="1" x14ac:dyDescent="0.3">
      <c r="A89" s="2">
        <v>3</v>
      </c>
      <c r="B89" s="6" t="s">
        <v>2</v>
      </c>
      <c r="C89" s="12">
        <f>14137.95*2+0.04</f>
        <v>28275.940000000002</v>
      </c>
      <c r="D89" s="13">
        <v>0</v>
      </c>
      <c r="E89" s="13">
        <v>0</v>
      </c>
      <c r="F89" s="13">
        <v>0</v>
      </c>
      <c r="G89" s="13">
        <v>0</v>
      </c>
      <c r="K89" s="2">
        <v>2</v>
      </c>
      <c r="L89" s="6" t="s">
        <v>1</v>
      </c>
      <c r="M89" s="12">
        <f>+C88</f>
        <v>28275.940000000002</v>
      </c>
      <c r="N89" s="13">
        <f>+M89</f>
        <v>28275.940000000002</v>
      </c>
      <c r="O89" s="12"/>
      <c r="P89" s="12"/>
      <c r="Q89" s="12"/>
      <c r="R89" s="12">
        <f>+O89+P89+Q89</f>
        <v>0</v>
      </c>
      <c r="S89" s="12">
        <f>+N89-R89</f>
        <v>28275.940000000002</v>
      </c>
    </row>
    <row r="90" spans="1:19" customFormat="1" x14ac:dyDescent="0.3">
      <c r="A90" s="2">
        <v>4</v>
      </c>
      <c r="B90" s="6" t="s">
        <v>3</v>
      </c>
      <c r="C90" s="12">
        <f>10147.8*2</f>
        <v>20295.599999999999</v>
      </c>
      <c r="D90" s="13">
        <v>0</v>
      </c>
      <c r="E90" s="13">
        <v>0</v>
      </c>
      <c r="F90" s="13">
        <v>0</v>
      </c>
      <c r="G90" s="13">
        <v>0</v>
      </c>
      <c r="K90" s="2">
        <v>3</v>
      </c>
      <c r="L90" s="6" t="s">
        <v>2</v>
      </c>
      <c r="M90" s="12">
        <f>+C89</f>
        <v>28275.940000000002</v>
      </c>
      <c r="N90" s="13">
        <f t="shared" si="70"/>
        <v>28275.940000000002</v>
      </c>
      <c r="O90" s="12"/>
      <c r="P90" s="12"/>
      <c r="Q90" s="12"/>
      <c r="R90" s="12">
        <f>+O90+P90+Q90</f>
        <v>0</v>
      </c>
      <c r="S90" s="12">
        <f>+N90-R90</f>
        <v>28275.940000000002</v>
      </c>
    </row>
    <row r="91" spans="1:19" customFormat="1" ht="18" x14ac:dyDescent="0.35">
      <c r="A91" s="1"/>
      <c r="B91" s="7" t="s">
        <v>10</v>
      </c>
      <c r="C91" s="15">
        <f>SUM(C87:C90)</f>
        <v>118470.82</v>
      </c>
      <c r="D91" s="15">
        <f t="shared" ref="D91" si="71">SUM(D87:D90)</f>
        <v>0</v>
      </c>
      <c r="E91" s="15">
        <f t="shared" ref="E91" si="72">SUM(E87:E90)</f>
        <v>0</v>
      </c>
      <c r="F91" s="15">
        <f t="shared" ref="F91" si="73">SUM(F87:F90)</f>
        <v>0</v>
      </c>
      <c r="G91" s="15">
        <f t="shared" ref="G91" si="74">SUM(G87:G90)</f>
        <v>0</v>
      </c>
      <c r="K91" s="2">
        <v>4</v>
      </c>
      <c r="L91" s="6" t="s">
        <v>3</v>
      </c>
      <c r="M91" s="12">
        <f>+C90</f>
        <v>20295.599999999999</v>
      </c>
      <c r="N91" s="13">
        <f t="shared" si="70"/>
        <v>20295.599999999999</v>
      </c>
      <c r="O91" s="12">
        <f>1529.35+1529.35</f>
        <v>3058.7</v>
      </c>
      <c r="P91" s="12">
        <f>291.84+291.84</f>
        <v>583.67999999999995</v>
      </c>
      <c r="Q91" s="12">
        <f>0.01+0.01</f>
        <v>0.02</v>
      </c>
      <c r="R91" s="12">
        <f>+O91+P91+Q91</f>
        <v>3642.3999999999996</v>
      </c>
      <c r="S91" s="12">
        <f>+N91-R91</f>
        <v>16653.199999999997</v>
      </c>
    </row>
    <row r="92" spans="1:19" ht="18" x14ac:dyDescent="0.35">
      <c r="K92" s="1"/>
      <c r="L92" s="7" t="s">
        <v>10</v>
      </c>
      <c r="M92" s="8">
        <f>SUM(M88:M91)</f>
        <v>118470.82</v>
      </c>
      <c r="N92" s="8">
        <f t="shared" ref="N92:Q92" si="75">SUM(N88:N91)</f>
        <v>118470.82</v>
      </c>
      <c r="O92" s="8">
        <f t="shared" si="75"/>
        <v>3058.7</v>
      </c>
      <c r="P92" s="8">
        <f t="shared" si="75"/>
        <v>583.67999999999995</v>
      </c>
      <c r="Q92" s="8">
        <f t="shared" si="75"/>
        <v>0.02</v>
      </c>
      <c r="R92" s="8">
        <f>SUM(R88:R91)</f>
        <v>3642.3999999999996</v>
      </c>
      <c r="S92" s="8">
        <f>SUM(S88:S91)</f>
        <v>114828.42</v>
      </c>
    </row>
    <row r="93" spans="1:19" customFormat="1" ht="18" x14ac:dyDescent="0.35">
      <c r="A93" s="3"/>
      <c r="B93" s="30" t="s">
        <v>48</v>
      </c>
      <c r="C93" s="30"/>
      <c r="D93" s="30"/>
      <c r="E93" s="30"/>
      <c r="F93" s="30"/>
      <c r="G93" s="30"/>
    </row>
    <row r="94" spans="1:19" customFormat="1" ht="20.25" customHeight="1" x14ac:dyDescent="0.35">
      <c r="A94" s="10" t="s">
        <v>11</v>
      </c>
      <c r="B94" s="9" t="s">
        <v>4</v>
      </c>
      <c r="C94" s="14" t="s">
        <v>5</v>
      </c>
      <c r="D94" s="9" t="s">
        <v>51</v>
      </c>
      <c r="E94" s="9" t="s">
        <v>50</v>
      </c>
      <c r="F94" s="9" t="s">
        <v>24</v>
      </c>
      <c r="G94" s="9" t="s">
        <v>49</v>
      </c>
      <c r="H94" s="9" t="s">
        <v>8</v>
      </c>
      <c r="I94" s="9" t="s">
        <v>9</v>
      </c>
      <c r="K94" s="3"/>
      <c r="L94" s="30" t="s">
        <v>92</v>
      </c>
      <c r="M94" s="30"/>
      <c r="N94" s="30"/>
      <c r="O94" s="30"/>
      <c r="P94" s="30"/>
      <c r="Q94" s="30"/>
    </row>
    <row r="95" spans="1:19" customFormat="1" ht="28.8" x14ac:dyDescent="0.3">
      <c r="A95" s="2">
        <v>1</v>
      </c>
      <c r="B95" s="6" t="s">
        <v>0</v>
      </c>
      <c r="C95" s="12">
        <f>20811.6+22199.04+0.15</f>
        <v>43010.79</v>
      </c>
      <c r="D95" s="13"/>
      <c r="E95" s="13">
        <v>0</v>
      </c>
      <c r="F95" s="13">
        <v>0</v>
      </c>
      <c r="G95" s="13">
        <v>0</v>
      </c>
      <c r="H95" s="13">
        <v>0</v>
      </c>
      <c r="I95" s="13">
        <v>42623.199999999997</v>
      </c>
      <c r="K95" s="10" t="s">
        <v>11</v>
      </c>
      <c r="L95" s="9" t="s">
        <v>4</v>
      </c>
      <c r="M95" s="23" t="s">
        <v>5</v>
      </c>
      <c r="N95" s="23" t="s">
        <v>54</v>
      </c>
      <c r="O95" s="23" t="s">
        <v>55</v>
      </c>
      <c r="P95" s="23" t="s">
        <v>57</v>
      </c>
      <c r="Q95" s="23" t="s">
        <v>56</v>
      </c>
      <c r="R95" s="23" t="s">
        <v>58</v>
      </c>
      <c r="S95" s="23" t="s">
        <v>59</v>
      </c>
    </row>
    <row r="96" spans="1:19" customFormat="1" x14ac:dyDescent="0.3">
      <c r="A96" s="2">
        <v>2</v>
      </c>
      <c r="B96" s="6" t="s">
        <v>1</v>
      </c>
      <c r="C96" s="12">
        <f>14137.95+15080.48+0.04</f>
        <v>29218.47</v>
      </c>
      <c r="D96" s="13"/>
      <c r="E96" s="13">
        <v>0</v>
      </c>
      <c r="F96" s="13">
        <v>0</v>
      </c>
      <c r="G96" s="13">
        <v>0</v>
      </c>
      <c r="H96" s="13">
        <v>0</v>
      </c>
      <c r="I96" s="13">
        <f>28275.9+0.03</f>
        <v>28275.93</v>
      </c>
      <c r="K96" s="2">
        <v>1</v>
      </c>
      <c r="L96" s="6" t="s">
        <v>0</v>
      </c>
      <c r="M96" s="12">
        <f>+C95+I95</f>
        <v>85633.989999999991</v>
      </c>
      <c r="N96" s="13">
        <f t="shared" ref="N96:N99" si="76">+M96</f>
        <v>85633.989999999991</v>
      </c>
      <c r="O96" s="12"/>
      <c r="P96" s="12"/>
      <c r="Q96" s="12"/>
      <c r="R96" s="12">
        <f>+O96+P96+Q96</f>
        <v>0</v>
      </c>
      <c r="S96" s="12">
        <f>+N96-R96</f>
        <v>85633.989999999991</v>
      </c>
    </row>
    <row r="97" spans="1:19" customFormat="1" x14ac:dyDescent="0.3">
      <c r="A97" s="2">
        <v>3</v>
      </c>
      <c r="B97" s="6" t="s">
        <v>2</v>
      </c>
      <c r="C97" s="12">
        <f>14137.95+15080.48+0.04</f>
        <v>29218.47</v>
      </c>
      <c r="D97" s="13"/>
      <c r="E97" s="13">
        <v>0</v>
      </c>
      <c r="F97" s="13">
        <v>0</v>
      </c>
      <c r="G97" s="13">
        <v>0</v>
      </c>
      <c r="H97" s="13">
        <v>0</v>
      </c>
      <c r="I97" s="13">
        <f>28275.9+0.03</f>
        <v>28275.93</v>
      </c>
      <c r="K97" s="2">
        <v>2</v>
      </c>
      <c r="L97" s="6" t="s">
        <v>1</v>
      </c>
      <c r="M97" s="12">
        <f>+C96+I96</f>
        <v>57494.400000000001</v>
      </c>
      <c r="N97" s="13">
        <f>+M97</f>
        <v>57494.400000000001</v>
      </c>
      <c r="O97" s="12"/>
      <c r="P97" s="12"/>
      <c r="Q97" s="12"/>
      <c r="R97" s="12">
        <f>+O97+P97+Q97</f>
        <v>0</v>
      </c>
      <c r="S97" s="12">
        <f>+N97-R97</f>
        <v>57494.400000000001</v>
      </c>
    </row>
    <row r="98" spans="1:19" customFormat="1" x14ac:dyDescent="0.3">
      <c r="A98" s="2">
        <v>4</v>
      </c>
      <c r="B98" s="6" t="s">
        <v>3</v>
      </c>
      <c r="C98" s="20">
        <f>0.01+10147.8</f>
        <v>10147.81</v>
      </c>
      <c r="D98" s="21">
        <v>27060.799999999999</v>
      </c>
      <c r="E98" s="21">
        <v>5914.56</v>
      </c>
      <c r="F98" s="21">
        <v>6765.2</v>
      </c>
      <c r="G98" s="21">
        <v>60886.8</v>
      </c>
      <c r="H98" s="21">
        <v>1418.66</v>
      </c>
      <c r="I98" s="21">
        <v>20295.599999999999</v>
      </c>
      <c r="K98" s="2">
        <v>3</v>
      </c>
      <c r="L98" s="6" t="s">
        <v>2</v>
      </c>
      <c r="M98" s="12">
        <f>+C97+I97</f>
        <v>57494.400000000001</v>
      </c>
      <c r="N98" s="13">
        <f t="shared" si="76"/>
        <v>57494.400000000001</v>
      </c>
      <c r="O98" s="12"/>
      <c r="P98" s="12"/>
      <c r="Q98" s="12"/>
      <c r="R98" s="12">
        <f>+O98+P98+Q98</f>
        <v>0</v>
      </c>
      <c r="S98" s="12">
        <f>+N98-R98</f>
        <v>57494.400000000001</v>
      </c>
    </row>
    <row r="99" spans="1:19" customFormat="1" ht="18" x14ac:dyDescent="0.35">
      <c r="A99" s="1"/>
      <c r="B99" s="7" t="s">
        <v>10</v>
      </c>
      <c r="C99" s="15">
        <f>SUM(C95:C98)</f>
        <v>111595.54000000001</v>
      </c>
      <c r="D99" s="15">
        <f>SUM(D95:D98)</f>
        <v>27060.799999999999</v>
      </c>
      <c r="E99" s="15">
        <f t="shared" ref="E99:F99" si="77">SUM(E95:E98)</f>
        <v>5914.56</v>
      </c>
      <c r="F99" s="15">
        <f t="shared" si="77"/>
        <v>6765.2</v>
      </c>
      <c r="G99" s="15">
        <f t="shared" ref="G99" si="78">SUM(G95:G98)</f>
        <v>60886.8</v>
      </c>
      <c r="H99" s="15">
        <f t="shared" ref="H99" si="79">SUM(H95:H98)</f>
        <v>1418.66</v>
      </c>
      <c r="I99" s="15">
        <f t="shared" ref="I99" si="80">SUM(I95:I98)</f>
        <v>119470.66</v>
      </c>
      <c r="K99" s="2">
        <v>4</v>
      </c>
      <c r="L99" s="6" t="s">
        <v>3</v>
      </c>
      <c r="M99" s="12">
        <f>93862.16+20295.6+18331.67</f>
        <v>132489.43</v>
      </c>
      <c r="N99" s="13">
        <f t="shared" si="76"/>
        <v>132489.43</v>
      </c>
      <c r="O99" s="12">
        <f>3081.56+303.03+11787.8+3793.73</f>
        <v>18966.12</v>
      </c>
      <c r="P99" s="12">
        <v>291.83999999999997</v>
      </c>
      <c r="Q99" s="12">
        <v>7.0000000000000007E-2</v>
      </c>
      <c r="R99" s="12">
        <f>+O99+P99+Q99</f>
        <v>19258.03</v>
      </c>
      <c r="S99" s="12">
        <f>+N99-R99</f>
        <v>113231.4</v>
      </c>
    </row>
    <row r="100" spans="1:19" ht="18" x14ac:dyDescent="0.35">
      <c r="K100" s="1"/>
      <c r="L100" s="7" t="s">
        <v>10</v>
      </c>
      <c r="M100" s="8">
        <f>SUM(M96:M99)</f>
        <v>333112.21999999997</v>
      </c>
      <c r="N100" s="8">
        <f t="shared" ref="N100:Q100" si="81">SUM(N96:N99)</f>
        <v>333112.21999999997</v>
      </c>
      <c r="O100" s="8">
        <f t="shared" si="81"/>
        <v>18966.12</v>
      </c>
      <c r="P100" s="8">
        <f t="shared" si="81"/>
        <v>291.83999999999997</v>
      </c>
      <c r="Q100" s="8">
        <f t="shared" si="81"/>
        <v>7.0000000000000007E-2</v>
      </c>
      <c r="R100" s="8">
        <f>SUM(R96:R99)</f>
        <v>19258.03</v>
      </c>
      <c r="S100" s="8">
        <f>SUM(S96:S99)</f>
        <v>313854.18999999994</v>
      </c>
    </row>
  </sheetData>
  <mergeCells count="24">
    <mergeCell ref="L86:Q86"/>
    <mergeCell ref="L94:Q94"/>
    <mergeCell ref="L46:Q46"/>
    <mergeCell ref="L54:Q54"/>
    <mergeCell ref="L62:Q62"/>
    <mergeCell ref="L70:Q70"/>
    <mergeCell ref="L78:Q78"/>
    <mergeCell ref="L2:Q2"/>
    <mergeCell ref="L11:Q11"/>
    <mergeCell ref="L19:Q19"/>
    <mergeCell ref="L28:Q28"/>
    <mergeCell ref="L37:Q37"/>
    <mergeCell ref="B93:G93"/>
    <mergeCell ref="B2:G2"/>
    <mergeCell ref="B19:G19"/>
    <mergeCell ref="B27:G27"/>
    <mergeCell ref="B35:G35"/>
    <mergeCell ref="B43:G43"/>
    <mergeCell ref="B51:G51"/>
    <mergeCell ref="B59:G59"/>
    <mergeCell ref="B68:G68"/>
    <mergeCell ref="B77:G77"/>
    <mergeCell ref="B85:G85"/>
    <mergeCell ref="B11:G11"/>
  </mergeCells>
  <pageMargins left="0.7" right="0.7" top="0.75" bottom="0.75" header="0.3" footer="0.3"/>
  <pageSetup orientation="portrait" horizontalDpi="0" verticalDpi="0" r:id="rId1"/>
  <drawing r:id="rId2"/>
  <legacyDrawing r:id="rId3"/>
  <controls>
    <mc:AlternateContent xmlns:mc="http://schemas.openxmlformats.org/markup-compatibility/2006">
      <mc:Choice Requires="x14">
        <control shapeId="3087" r:id="rId4" name="Control 15">
          <controlPr defaultSize="0" r:id="rId5">
            <anchor moveWithCells="1">
              <from>
                <xdr:col>0</xdr:col>
                <xdr:colOff>0</xdr:colOff>
                <xdr:row>8</xdr:row>
                <xdr:rowOff>205740</xdr:rowOff>
              </from>
              <to>
                <xdr:col>0</xdr:col>
                <xdr:colOff>205740</xdr:colOff>
                <xdr:row>9</xdr:row>
                <xdr:rowOff>167640</xdr:rowOff>
              </to>
            </anchor>
          </controlPr>
        </control>
      </mc:Choice>
      <mc:Fallback>
        <control shapeId="3087" r:id="rId4" name="Control 15"/>
      </mc:Fallback>
    </mc:AlternateContent>
    <mc:AlternateContent xmlns:mc="http://schemas.openxmlformats.org/markup-compatibility/2006">
      <mc:Choice Requires="x14">
        <control shapeId="3086" r:id="rId6" name="Control 14">
          <controlPr defaultSize="0" r:id="rId5">
            <anchor moveWithCells="1">
              <from>
                <xdr:col>0</xdr:col>
                <xdr:colOff>0</xdr:colOff>
                <xdr:row>8</xdr:row>
                <xdr:rowOff>205740</xdr:rowOff>
              </from>
              <to>
                <xdr:col>0</xdr:col>
                <xdr:colOff>205740</xdr:colOff>
                <xdr:row>9</xdr:row>
                <xdr:rowOff>167640</xdr:rowOff>
              </to>
            </anchor>
          </controlPr>
        </control>
      </mc:Choice>
      <mc:Fallback>
        <control shapeId="3086" r:id="rId6" name="Control 14"/>
      </mc:Fallback>
    </mc:AlternateContent>
    <mc:AlternateContent xmlns:mc="http://schemas.openxmlformats.org/markup-compatibility/2006">
      <mc:Choice Requires="x14">
        <control shapeId="3085" r:id="rId7" name="Control 13">
          <controlPr defaultSize="0" r:id="rId5">
            <anchor moveWithCells="1">
              <from>
                <xdr:col>0</xdr:col>
                <xdr:colOff>0</xdr:colOff>
                <xdr:row>8</xdr:row>
                <xdr:rowOff>205740</xdr:rowOff>
              </from>
              <to>
                <xdr:col>0</xdr:col>
                <xdr:colOff>205740</xdr:colOff>
                <xdr:row>9</xdr:row>
                <xdr:rowOff>167640</xdr:rowOff>
              </to>
            </anchor>
          </controlPr>
        </control>
      </mc:Choice>
      <mc:Fallback>
        <control shapeId="3085" r:id="rId7" name="Control 13"/>
      </mc:Fallback>
    </mc:AlternateContent>
    <mc:AlternateContent xmlns:mc="http://schemas.openxmlformats.org/markup-compatibility/2006">
      <mc:Choice Requires="x14">
        <control shapeId="3084" r:id="rId8" name="Control 12">
          <controlPr defaultSize="0" r:id="rId5">
            <anchor moveWithCells="1">
              <from>
                <xdr:col>0</xdr:col>
                <xdr:colOff>0</xdr:colOff>
                <xdr:row>8</xdr:row>
                <xdr:rowOff>205740</xdr:rowOff>
              </from>
              <to>
                <xdr:col>0</xdr:col>
                <xdr:colOff>205740</xdr:colOff>
                <xdr:row>9</xdr:row>
                <xdr:rowOff>167640</xdr:rowOff>
              </to>
            </anchor>
          </controlPr>
        </control>
      </mc:Choice>
      <mc:Fallback>
        <control shapeId="3084" r:id="rId8" name="Control 12"/>
      </mc:Fallback>
    </mc:AlternateContent>
    <mc:AlternateContent xmlns:mc="http://schemas.openxmlformats.org/markup-compatibility/2006">
      <mc:Choice Requires="x14">
        <control shapeId="3083" r:id="rId9" name="Control 11">
          <controlPr defaultSize="0" r:id="rId5">
            <anchor moveWithCells="1">
              <from>
                <xdr:col>0</xdr:col>
                <xdr:colOff>0</xdr:colOff>
                <xdr:row>8</xdr:row>
                <xdr:rowOff>205740</xdr:rowOff>
              </from>
              <to>
                <xdr:col>0</xdr:col>
                <xdr:colOff>205740</xdr:colOff>
                <xdr:row>9</xdr:row>
                <xdr:rowOff>167640</xdr:rowOff>
              </to>
            </anchor>
          </controlPr>
        </control>
      </mc:Choice>
      <mc:Fallback>
        <control shapeId="3083" r:id="rId9" name="Control 11"/>
      </mc:Fallback>
    </mc:AlternateContent>
    <mc:AlternateContent xmlns:mc="http://schemas.openxmlformats.org/markup-compatibility/2006">
      <mc:Choice Requires="x14">
        <control shapeId="3082" r:id="rId10" name="Control 10">
          <controlPr defaultSize="0" r:id="rId5">
            <anchor moveWithCells="1">
              <from>
                <xdr:col>0</xdr:col>
                <xdr:colOff>0</xdr:colOff>
                <xdr:row>8</xdr:row>
                <xdr:rowOff>205740</xdr:rowOff>
              </from>
              <to>
                <xdr:col>0</xdr:col>
                <xdr:colOff>205740</xdr:colOff>
                <xdr:row>9</xdr:row>
                <xdr:rowOff>167640</xdr:rowOff>
              </to>
            </anchor>
          </controlPr>
        </control>
      </mc:Choice>
      <mc:Fallback>
        <control shapeId="3082" r:id="rId10" name="Control 10"/>
      </mc:Fallback>
    </mc:AlternateContent>
    <mc:AlternateContent xmlns:mc="http://schemas.openxmlformats.org/markup-compatibility/2006">
      <mc:Choice Requires="x14">
        <control shapeId="3081" r:id="rId11" name="Control 9">
          <controlPr defaultSize="0" r:id="rId5">
            <anchor moveWithCells="1">
              <from>
                <xdr:col>0</xdr:col>
                <xdr:colOff>0</xdr:colOff>
                <xdr:row>8</xdr:row>
                <xdr:rowOff>205740</xdr:rowOff>
              </from>
              <to>
                <xdr:col>0</xdr:col>
                <xdr:colOff>205740</xdr:colOff>
                <xdr:row>9</xdr:row>
                <xdr:rowOff>167640</xdr:rowOff>
              </to>
            </anchor>
          </controlPr>
        </control>
      </mc:Choice>
      <mc:Fallback>
        <control shapeId="3081" r:id="rId11" name="Control 9"/>
      </mc:Fallback>
    </mc:AlternateContent>
    <mc:AlternateContent xmlns:mc="http://schemas.openxmlformats.org/markup-compatibility/2006">
      <mc:Choice Requires="x14">
        <control shapeId="3080" r:id="rId12" name="Control 8">
          <controlPr defaultSize="0" r:id="rId5">
            <anchor moveWithCells="1">
              <from>
                <xdr:col>0</xdr:col>
                <xdr:colOff>0</xdr:colOff>
                <xdr:row>8</xdr:row>
                <xdr:rowOff>205740</xdr:rowOff>
              </from>
              <to>
                <xdr:col>0</xdr:col>
                <xdr:colOff>205740</xdr:colOff>
                <xdr:row>9</xdr:row>
                <xdr:rowOff>167640</xdr:rowOff>
              </to>
            </anchor>
          </controlPr>
        </control>
      </mc:Choice>
      <mc:Fallback>
        <control shapeId="3080" r:id="rId12" name="Control 8"/>
      </mc:Fallback>
    </mc:AlternateContent>
    <mc:AlternateContent xmlns:mc="http://schemas.openxmlformats.org/markup-compatibility/2006">
      <mc:Choice Requires="x14">
        <control shapeId="3079" r:id="rId13" name="Control 7">
          <controlPr defaultSize="0" r:id="rId5">
            <anchor moveWithCells="1">
              <from>
                <xdr:col>0</xdr:col>
                <xdr:colOff>0</xdr:colOff>
                <xdr:row>8</xdr:row>
                <xdr:rowOff>205740</xdr:rowOff>
              </from>
              <to>
                <xdr:col>0</xdr:col>
                <xdr:colOff>205740</xdr:colOff>
                <xdr:row>9</xdr:row>
                <xdr:rowOff>167640</xdr:rowOff>
              </to>
            </anchor>
          </controlPr>
        </control>
      </mc:Choice>
      <mc:Fallback>
        <control shapeId="3079" r:id="rId13" name="Control 7"/>
      </mc:Fallback>
    </mc:AlternateContent>
    <mc:AlternateContent xmlns:mc="http://schemas.openxmlformats.org/markup-compatibility/2006">
      <mc:Choice Requires="x14">
        <control shapeId="3078" r:id="rId14" name="Control 6">
          <controlPr defaultSize="0" r:id="rId5">
            <anchor moveWithCells="1">
              <from>
                <xdr:col>0</xdr:col>
                <xdr:colOff>0</xdr:colOff>
                <xdr:row>8</xdr:row>
                <xdr:rowOff>205740</xdr:rowOff>
              </from>
              <to>
                <xdr:col>0</xdr:col>
                <xdr:colOff>205740</xdr:colOff>
                <xdr:row>9</xdr:row>
                <xdr:rowOff>167640</xdr:rowOff>
              </to>
            </anchor>
          </controlPr>
        </control>
      </mc:Choice>
      <mc:Fallback>
        <control shapeId="3078" r:id="rId14" name="Control 6"/>
      </mc:Fallback>
    </mc:AlternateContent>
    <mc:AlternateContent xmlns:mc="http://schemas.openxmlformats.org/markup-compatibility/2006">
      <mc:Choice Requires="x14">
        <control shapeId="3077" r:id="rId15" name="Control 5">
          <controlPr defaultSize="0" r:id="rId5">
            <anchor moveWithCells="1">
              <from>
                <xdr:col>0</xdr:col>
                <xdr:colOff>0</xdr:colOff>
                <xdr:row>8</xdr:row>
                <xdr:rowOff>205740</xdr:rowOff>
              </from>
              <to>
                <xdr:col>0</xdr:col>
                <xdr:colOff>205740</xdr:colOff>
                <xdr:row>9</xdr:row>
                <xdr:rowOff>167640</xdr:rowOff>
              </to>
            </anchor>
          </controlPr>
        </control>
      </mc:Choice>
      <mc:Fallback>
        <control shapeId="3077" r:id="rId15" name="Control 5"/>
      </mc:Fallback>
    </mc:AlternateContent>
    <mc:AlternateContent xmlns:mc="http://schemas.openxmlformats.org/markup-compatibility/2006">
      <mc:Choice Requires="x14">
        <control shapeId="3076" r:id="rId16" name="Control 4">
          <controlPr defaultSize="0" r:id="rId5">
            <anchor moveWithCells="1">
              <from>
                <xdr:col>0</xdr:col>
                <xdr:colOff>0</xdr:colOff>
                <xdr:row>8</xdr:row>
                <xdr:rowOff>205740</xdr:rowOff>
              </from>
              <to>
                <xdr:col>0</xdr:col>
                <xdr:colOff>205740</xdr:colOff>
                <xdr:row>9</xdr:row>
                <xdr:rowOff>167640</xdr:rowOff>
              </to>
            </anchor>
          </controlPr>
        </control>
      </mc:Choice>
      <mc:Fallback>
        <control shapeId="3076" r:id="rId16" name="Control 4"/>
      </mc:Fallback>
    </mc:AlternateContent>
    <mc:AlternateContent xmlns:mc="http://schemas.openxmlformats.org/markup-compatibility/2006">
      <mc:Choice Requires="x14">
        <control shapeId="3075" r:id="rId17" name="Control 3">
          <controlPr defaultSize="0" r:id="rId5">
            <anchor moveWithCells="1">
              <from>
                <xdr:col>0</xdr:col>
                <xdr:colOff>0</xdr:colOff>
                <xdr:row>8</xdr:row>
                <xdr:rowOff>205740</xdr:rowOff>
              </from>
              <to>
                <xdr:col>0</xdr:col>
                <xdr:colOff>205740</xdr:colOff>
                <xdr:row>9</xdr:row>
                <xdr:rowOff>167640</xdr:rowOff>
              </to>
            </anchor>
          </controlPr>
        </control>
      </mc:Choice>
      <mc:Fallback>
        <control shapeId="3075" r:id="rId17" name="Control 3"/>
      </mc:Fallback>
    </mc:AlternateContent>
    <mc:AlternateContent xmlns:mc="http://schemas.openxmlformats.org/markup-compatibility/2006">
      <mc:Choice Requires="x14">
        <control shapeId="3074" r:id="rId18" name="Control 2">
          <controlPr defaultSize="0" r:id="rId5">
            <anchor moveWithCells="1">
              <from>
                <xdr:col>0</xdr:col>
                <xdr:colOff>0</xdr:colOff>
                <xdr:row>8</xdr:row>
                <xdr:rowOff>205740</xdr:rowOff>
              </from>
              <to>
                <xdr:col>0</xdr:col>
                <xdr:colOff>205740</xdr:colOff>
                <xdr:row>9</xdr:row>
                <xdr:rowOff>167640</xdr:rowOff>
              </to>
            </anchor>
          </controlPr>
        </control>
      </mc:Choice>
      <mc:Fallback>
        <control shapeId="3074" r:id="rId18" name="Control 2"/>
      </mc:Fallback>
    </mc:AlternateContent>
    <mc:AlternateContent xmlns:mc="http://schemas.openxmlformats.org/markup-compatibility/2006">
      <mc:Choice Requires="x14">
        <control shapeId="3073" r:id="rId19" name="Control 1">
          <controlPr defaultSize="0" r:id="rId5">
            <anchor moveWithCells="1">
              <from>
                <xdr:col>0</xdr:col>
                <xdr:colOff>0</xdr:colOff>
                <xdr:row>8</xdr:row>
                <xdr:rowOff>205740</xdr:rowOff>
              </from>
              <to>
                <xdr:col>0</xdr:col>
                <xdr:colOff>205740</xdr:colOff>
                <xdr:row>9</xdr:row>
                <xdr:rowOff>167640</xdr:rowOff>
              </to>
            </anchor>
          </controlPr>
        </control>
      </mc:Choice>
      <mc:Fallback>
        <control shapeId="3073" r:id="rId19" name="Control 1"/>
      </mc:Fallback>
    </mc:AlternateContent>
  </control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1FA540-E622-4A85-8449-BDA75C7ED28A}">
  <dimension ref="A2:I23"/>
  <sheetViews>
    <sheetView tabSelected="1" topLeftCell="A3" zoomScale="70" zoomScaleNormal="70" workbookViewId="0">
      <selection activeCell="B18" sqref="B18:G18"/>
    </sheetView>
  </sheetViews>
  <sheetFormatPr baseColWidth="10" defaultRowHeight="14.4" x14ac:dyDescent="0.3"/>
  <cols>
    <col min="1" max="1" width="4.88671875" style="34" customWidth="1"/>
    <col min="2" max="2" width="35.6640625" style="34" bestFit="1" customWidth="1"/>
    <col min="3" max="3" width="16" style="34" bestFit="1" customWidth="1"/>
    <col min="4" max="4" width="20.88671875" style="34" customWidth="1"/>
    <col min="5" max="5" width="16.109375" style="34" bestFit="1" customWidth="1"/>
    <col min="6" max="6" width="16.44140625" style="34" customWidth="1"/>
    <col min="7" max="7" width="15.88671875" style="34" bestFit="1" customWidth="1"/>
    <col min="8" max="8" width="17.109375" style="34" customWidth="1"/>
    <col min="9" max="9" width="15.88671875" style="34" customWidth="1"/>
    <col min="10" max="11" width="14.6640625" style="34" bestFit="1" customWidth="1"/>
    <col min="12" max="12" width="11.6640625" style="34" bestFit="1" customWidth="1"/>
    <col min="13" max="13" width="14.5546875" style="34" bestFit="1" customWidth="1"/>
    <col min="14" max="14" width="15.88671875" style="34" bestFit="1" customWidth="1"/>
    <col min="15" max="16384" width="11.5546875" style="34"/>
  </cols>
  <sheetData>
    <row r="2" spans="1:9" ht="18" x14ac:dyDescent="0.3">
      <c r="A2" s="32"/>
      <c r="B2" s="33" t="s">
        <v>78</v>
      </c>
      <c r="C2" s="33"/>
      <c r="D2" s="33"/>
      <c r="E2" s="33"/>
      <c r="F2" s="33"/>
      <c r="G2" s="33"/>
    </row>
    <row r="3" spans="1:9" ht="28.8" x14ac:dyDescent="0.3">
      <c r="A3" s="35" t="s">
        <v>11</v>
      </c>
      <c r="B3" s="36" t="s">
        <v>4</v>
      </c>
      <c r="C3" s="36" t="s">
        <v>105</v>
      </c>
      <c r="D3" s="37" t="s">
        <v>54</v>
      </c>
      <c r="E3" s="37" t="s">
        <v>55</v>
      </c>
      <c r="F3" s="37" t="s">
        <v>53</v>
      </c>
      <c r="G3" s="37" t="s">
        <v>56</v>
      </c>
      <c r="H3" s="37" t="s">
        <v>58</v>
      </c>
      <c r="I3" s="37" t="s">
        <v>59</v>
      </c>
    </row>
    <row r="4" spans="1:9" x14ac:dyDescent="0.3">
      <c r="A4" s="38">
        <v>1</v>
      </c>
      <c r="B4" s="39" t="s">
        <v>0</v>
      </c>
      <c r="C4" s="40">
        <v>43010.78</v>
      </c>
      <c r="D4" s="40">
        <v>43010.78</v>
      </c>
      <c r="E4" s="41">
        <v>8197.0400000000009</v>
      </c>
      <c r="F4" s="41">
        <v>1270.78</v>
      </c>
      <c r="G4" s="41">
        <v>0.14000000000000001</v>
      </c>
      <c r="H4" s="41">
        <v>9467.9600000000009</v>
      </c>
      <c r="I4" s="41">
        <v>33542.82</v>
      </c>
    </row>
    <row r="5" spans="1:9" x14ac:dyDescent="0.3">
      <c r="A5" s="38">
        <v>2</v>
      </c>
      <c r="B5" s="39" t="s">
        <v>1</v>
      </c>
      <c r="C5" s="40">
        <v>29218.43</v>
      </c>
      <c r="D5" s="40">
        <v>29218.43</v>
      </c>
      <c r="E5" s="41">
        <v>4874.6900000000005</v>
      </c>
      <c r="F5" s="41">
        <v>852.9</v>
      </c>
      <c r="G5" s="41">
        <v>0.08</v>
      </c>
      <c r="H5" s="41">
        <v>5727.67</v>
      </c>
      <c r="I5" s="41">
        <v>23490.760000000002</v>
      </c>
    </row>
    <row r="6" spans="1:9" x14ac:dyDescent="0.3">
      <c r="A6" s="38">
        <v>3</v>
      </c>
      <c r="B6" s="39" t="s">
        <v>106</v>
      </c>
      <c r="C6" s="40">
        <v>29218.590000000004</v>
      </c>
      <c r="D6" s="40">
        <v>29218.590000000004</v>
      </c>
      <c r="E6" s="41">
        <v>4874.6900000000005</v>
      </c>
      <c r="F6" s="41">
        <v>852.9</v>
      </c>
      <c r="G6" s="41">
        <v>0</v>
      </c>
      <c r="H6" s="41">
        <v>5727.59</v>
      </c>
      <c r="I6" s="41">
        <v>23491.000000000004</v>
      </c>
    </row>
    <row r="7" spans="1:9" ht="18" x14ac:dyDescent="0.3">
      <c r="A7" s="42"/>
      <c r="B7" s="43" t="s">
        <v>10</v>
      </c>
      <c r="C7" s="44">
        <f>SUM(C4:C6)</f>
        <v>101447.79999999999</v>
      </c>
      <c r="D7" s="45">
        <v>101447.79999999999</v>
      </c>
      <c r="E7" s="45">
        <v>17946.420000000002</v>
      </c>
      <c r="F7" s="45">
        <v>2976.58</v>
      </c>
      <c r="G7" s="45">
        <v>0.22000000000000003</v>
      </c>
      <c r="H7" s="45">
        <v>20923.22</v>
      </c>
      <c r="I7" s="45">
        <v>80524.58</v>
      </c>
    </row>
    <row r="10" spans="1:9" ht="18" x14ac:dyDescent="0.3">
      <c r="A10" s="32"/>
      <c r="B10" s="33" t="s">
        <v>79</v>
      </c>
      <c r="C10" s="33"/>
      <c r="D10" s="33"/>
      <c r="E10" s="33"/>
      <c r="F10" s="33"/>
      <c r="G10" s="33"/>
    </row>
    <row r="11" spans="1:9" ht="28.8" x14ac:dyDescent="0.3">
      <c r="A11" s="35" t="s">
        <v>11</v>
      </c>
      <c r="B11" s="36" t="s">
        <v>4</v>
      </c>
      <c r="C11" s="36" t="s">
        <v>105</v>
      </c>
      <c r="D11" s="37" t="s">
        <v>54</v>
      </c>
      <c r="E11" s="37" t="s">
        <v>55</v>
      </c>
      <c r="F11" s="37" t="s">
        <v>53</v>
      </c>
      <c r="G11" s="37" t="s">
        <v>56</v>
      </c>
      <c r="H11" s="37" t="s">
        <v>58</v>
      </c>
      <c r="I11" s="37" t="s">
        <v>59</v>
      </c>
    </row>
    <row r="12" spans="1:9" x14ac:dyDescent="0.3">
      <c r="A12" s="38">
        <v>1</v>
      </c>
      <c r="B12" s="39" t="s">
        <v>0</v>
      </c>
      <c r="C12" s="40">
        <v>38848.380000000005</v>
      </c>
      <c r="D12" s="40">
        <v>38848.380000000005</v>
      </c>
      <c r="E12" s="41">
        <v>7139.6399999999994</v>
      </c>
      <c r="F12" s="41">
        <v>1146.8899999999999</v>
      </c>
      <c r="G12" s="41">
        <v>0.05</v>
      </c>
      <c r="H12" s="41">
        <v>8286.5799999999981</v>
      </c>
      <c r="I12" s="41">
        <v>30561.800000000007</v>
      </c>
    </row>
    <row r="13" spans="1:9" x14ac:dyDescent="0.3">
      <c r="A13" s="38">
        <v>2</v>
      </c>
      <c r="B13" s="39" t="s">
        <v>1</v>
      </c>
      <c r="C13" s="40">
        <v>26390.84</v>
      </c>
      <c r="D13" s="40">
        <v>26390.84</v>
      </c>
      <c r="E13" s="41">
        <v>4232.62</v>
      </c>
      <c r="F13" s="41">
        <v>769.45</v>
      </c>
      <c r="G13" s="41">
        <v>0.12</v>
      </c>
      <c r="H13" s="41">
        <v>5002.1899999999996</v>
      </c>
      <c r="I13" s="41">
        <v>21388.65</v>
      </c>
    </row>
    <row r="14" spans="1:9" x14ac:dyDescent="0.3">
      <c r="A14" s="38">
        <v>3</v>
      </c>
      <c r="B14" s="39" t="s">
        <v>106</v>
      </c>
      <c r="C14" s="40">
        <v>26390.84</v>
      </c>
      <c r="D14" s="40">
        <v>26390.84</v>
      </c>
      <c r="E14" s="41">
        <v>4232.62</v>
      </c>
      <c r="F14" s="41">
        <v>769.45</v>
      </c>
      <c r="G14" s="41">
        <v>0.16999999999999998</v>
      </c>
      <c r="H14" s="41">
        <v>5002.24</v>
      </c>
      <c r="I14" s="41">
        <v>21388.6</v>
      </c>
    </row>
    <row r="15" spans="1:9" ht="18" x14ac:dyDescent="0.3">
      <c r="A15" s="42"/>
      <c r="B15" s="43" t="s">
        <v>10</v>
      </c>
      <c r="C15" s="44">
        <f>SUM(C12:C14)</f>
        <v>91630.06</v>
      </c>
      <c r="D15" s="45">
        <v>91630.06</v>
      </c>
      <c r="E15" s="45">
        <v>15604.879999999997</v>
      </c>
      <c r="F15" s="45">
        <v>2685.79</v>
      </c>
      <c r="G15" s="45">
        <v>0.33999999999999997</v>
      </c>
      <c r="H15" s="45">
        <v>18291.009999999995</v>
      </c>
      <c r="I15" s="45">
        <v>73339.050000000017</v>
      </c>
    </row>
    <row r="18" spans="1:9" ht="18" x14ac:dyDescent="0.3">
      <c r="A18" s="32"/>
      <c r="B18" s="33" t="s">
        <v>80</v>
      </c>
      <c r="C18" s="33"/>
      <c r="D18" s="33"/>
      <c r="E18" s="33"/>
      <c r="F18" s="33"/>
      <c r="G18" s="33"/>
    </row>
    <row r="19" spans="1:9" ht="30.75" customHeight="1" x14ac:dyDescent="0.3">
      <c r="A19" s="35" t="s">
        <v>11</v>
      </c>
      <c r="B19" s="36" t="s">
        <v>4</v>
      </c>
      <c r="C19" s="36" t="s">
        <v>105</v>
      </c>
      <c r="D19" s="37" t="s">
        <v>54</v>
      </c>
      <c r="E19" s="37" t="s">
        <v>55</v>
      </c>
      <c r="F19" s="37" t="s">
        <v>53</v>
      </c>
      <c r="G19" s="37" t="s">
        <v>56</v>
      </c>
      <c r="H19" s="37" t="s">
        <v>58</v>
      </c>
      <c r="I19" s="37" t="s">
        <v>59</v>
      </c>
    </row>
    <row r="20" spans="1:9" x14ac:dyDescent="0.3">
      <c r="A20" s="38">
        <v>1</v>
      </c>
      <c r="B20" s="39" t="s">
        <v>0</v>
      </c>
      <c r="C20" s="40">
        <v>47502.23</v>
      </c>
      <c r="D20" s="40">
        <v>47502.23</v>
      </c>
      <c r="E20" s="41">
        <v>9553.02</v>
      </c>
      <c r="F20" s="41">
        <v>1531.33</v>
      </c>
      <c r="G20" s="41">
        <v>0.08</v>
      </c>
      <c r="H20" s="41">
        <f>SUM(E20:G20)</f>
        <v>11084.43</v>
      </c>
      <c r="I20" s="41">
        <f>D20-H20</f>
        <v>36417.800000000003</v>
      </c>
    </row>
    <row r="21" spans="1:9" x14ac:dyDescent="0.3">
      <c r="A21" s="38">
        <v>2</v>
      </c>
      <c r="B21" s="39" t="s">
        <v>1</v>
      </c>
      <c r="C21" s="40">
        <v>32566.555</v>
      </c>
      <c r="D21" s="40">
        <v>32566.555</v>
      </c>
      <c r="E21" s="41">
        <v>5662.17</v>
      </c>
      <c r="F21" s="41">
        <v>1039.8879999999999</v>
      </c>
      <c r="G21" s="41">
        <v>-0.1</v>
      </c>
      <c r="H21" s="41">
        <f t="shared" ref="H21:H22" si="0">SUM(E21:G21)</f>
        <v>6701.9579999999996</v>
      </c>
      <c r="I21" s="41">
        <f t="shared" ref="I21:I22" si="1">D21-H21</f>
        <v>25864.597000000002</v>
      </c>
    </row>
    <row r="22" spans="1:9" x14ac:dyDescent="0.3">
      <c r="A22" s="38">
        <v>3</v>
      </c>
      <c r="B22" s="39" t="s">
        <v>106</v>
      </c>
      <c r="C22" s="40">
        <v>32566.55</v>
      </c>
      <c r="D22" s="40">
        <v>32566.55</v>
      </c>
      <c r="E22" s="41">
        <v>5662.17</v>
      </c>
      <c r="F22" s="41">
        <v>1039.8800000000001</v>
      </c>
      <c r="G22" s="41">
        <v>-0.1</v>
      </c>
      <c r="H22" s="41">
        <f t="shared" si="0"/>
        <v>6701.95</v>
      </c>
      <c r="I22" s="41">
        <f t="shared" si="1"/>
        <v>25864.6</v>
      </c>
    </row>
    <row r="23" spans="1:9" ht="18" x14ac:dyDescent="0.3">
      <c r="A23" s="38"/>
      <c r="B23" s="43" t="s">
        <v>10</v>
      </c>
      <c r="C23" s="44">
        <f>SUM(C20:C22)</f>
        <v>112635.33500000001</v>
      </c>
      <c r="D23" s="44">
        <f t="shared" ref="D23:I23" si="2">SUM(D20:D22)</f>
        <v>112635.33500000001</v>
      </c>
      <c r="E23" s="44">
        <f t="shared" si="2"/>
        <v>20877.36</v>
      </c>
      <c r="F23" s="44">
        <f t="shared" si="2"/>
        <v>3611.098</v>
      </c>
      <c r="G23" s="44">
        <f t="shared" si="2"/>
        <v>-0.12000000000000001</v>
      </c>
      <c r="H23" s="44">
        <f t="shared" si="2"/>
        <v>24488.338</v>
      </c>
      <c r="I23" s="44">
        <f t="shared" si="2"/>
        <v>88146.997000000003</v>
      </c>
    </row>
  </sheetData>
  <mergeCells count="3">
    <mergeCell ref="B18:G18"/>
    <mergeCell ref="B2:G2"/>
    <mergeCell ref="B10:G10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2017</vt:lpstr>
      <vt:lpstr>2018</vt:lpstr>
      <vt:lpstr>2019</vt:lpstr>
      <vt:lpstr>2020</vt:lpstr>
      <vt:lpstr>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JIMAV ADMINISTRACION</cp:lastModifiedBy>
  <cp:lastPrinted>2021-06-01T15:33:56Z</cp:lastPrinted>
  <dcterms:created xsi:type="dcterms:W3CDTF">2021-05-11T15:06:14Z</dcterms:created>
  <dcterms:modified xsi:type="dcterms:W3CDTF">2023-06-28T19:18:36Z</dcterms:modified>
</cp:coreProperties>
</file>